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WillsDocuments\sportsci\resource\stats\"/>
    </mc:Choice>
  </mc:AlternateContent>
  <bookViews>
    <workbookView xWindow="7035" yWindow="0" windowWidth="22830" windowHeight="11100" tabRatio="567"/>
  </bookViews>
  <sheets>
    <sheet name="Sheet 1" sheetId="2" r:id="rId1"/>
  </sheets>
  <calcPr calcId="162913"/>
</workbook>
</file>

<file path=xl/calcChain.xml><?xml version="1.0" encoding="utf-8"?>
<calcChain xmlns="http://schemas.openxmlformats.org/spreadsheetml/2006/main">
  <c r="D42" i="2" l="1"/>
  <c r="C34" i="2"/>
  <c r="N40" i="2" l="1"/>
  <c r="H74" i="2" l="1"/>
  <c r="G74" i="2"/>
  <c r="G42" i="2" l="1"/>
  <c r="H42" i="2"/>
  <c r="AG26" i="2" l="1"/>
  <c r="AG105" i="2" l="1"/>
  <c r="AG97" i="2"/>
  <c r="AG34" i="2"/>
  <c r="D50" i="2" l="1"/>
  <c r="D72" i="2" l="1"/>
  <c r="C26" i="2"/>
  <c r="R34" i="2" l="1"/>
  <c r="E63" i="2"/>
  <c r="AG63" i="2" s="1"/>
  <c r="Q63" i="2"/>
  <c r="E134" i="2"/>
  <c r="AG134" i="2" s="1"/>
  <c r="G26" i="2"/>
  <c r="H26" i="2"/>
  <c r="F114" i="2"/>
  <c r="F106" i="2"/>
  <c r="F98" i="2"/>
  <c r="Y17" i="2"/>
  <c r="Z17" i="2" s="1"/>
  <c r="AA17" i="2" s="1"/>
  <c r="Y16" i="2"/>
  <c r="Z16" i="2" s="1"/>
  <c r="AA16" i="2" s="1"/>
  <c r="Y15" i="2"/>
  <c r="Z15" i="2" s="1"/>
  <c r="AA15" i="2" s="1"/>
  <c r="Y14" i="2"/>
  <c r="Z14" i="2"/>
  <c r="AA14" i="2" s="1"/>
  <c r="I140" i="2"/>
  <c r="AG145" i="2" s="1"/>
  <c r="D74" i="2"/>
  <c r="D73" i="2"/>
  <c r="D71" i="2"/>
  <c r="I69" i="2"/>
  <c r="Q74" i="2" s="1"/>
  <c r="G34" i="2"/>
  <c r="H34" i="2"/>
  <c r="H35" i="2" s="1"/>
  <c r="G43" i="2"/>
  <c r="H43" i="2"/>
  <c r="AG42" i="2"/>
  <c r="R42" i="2"/>
  <c r="G63" i="2"/>
  <c r="G64" i="2" s="1"/>
  <c r="H63" i="2"/>
  <c r="H64" i="2" s="1"/>
  <c r="D63" i="2"/>
  <c r="R63" i="2" s="1"/>
  <c r="N61" i="2"/>
  <c r="G82" i="2"/>
  <c r="G83" i="2" s="1"/>
  <c r="H82" i="2"/>
  <c r="AG82" i="2"/>
  <c r="D82" i="2"/>
  <c r="R82" i="2" s="1"/>
  <c r="N80" i="2"/>
  <c r="H75" i="2"/>
  <c r="N72" i="2"/>
  <c r="Q42" i="2"/>
  <c r="B124" i="2"/>
  <c r="H50" i="2"/>
  <c r="H51" i="2" s="1"/>
  <c r="H20" i="2"/>
  <c r="B148" i="2"/>
  <c r="B116" i="2"/>
  <c r="B108" i="2"/>
  <c r="B100" i="2"/>
  <c r="B92" i="2"/>
  <c r="C146" i="2"/>
  <c r="C75" i="2"/>
  <c r="H145" i="2"/>
  <c r="H146" i="2" s="1"/>
  <c r="G145" i="2"/>
  <c r="G146" i="2" s="1"/>
  <c r="N143" i="2"/>
  <c r="Q82" i="2"/>
  <c r="R50" i="2"/>
  <c r="Q50" i="2"/>
  <c r="G50" i="2"/>
  <c r="Q34" i="2"/>
  <c r="Q26" i="2"/>
  <c r="H153" i="2"/>
  <c r="H154" i="2" s="1"/>
  <c r="H134" i="2"/>
  <c r="H135" i="2" s="1"/>
  <c r="H121" i="2"/>
  <c r="H122" i="2" s="1"/>
  <c r="H113" i="2"/>
  <c r="H114" i="2" s="1"/>
  <c r="H105" i="2"/>
  <c r="H106" i="2" s="1"/>
  <c r="H97" i="2"/>
  <c r="H98" i="2" s="1"/>
  <c r="H91" i="2"/>
  <c r="G91" i="2"/>
  <c r="G20" i="2"/>
  <c r="N48" i="2"/>
  <c r="N32" i="2"/>
  <c r="N24" i="2"/>
  <c r="G113" i="2"/>
  <c r="G114" i="2" s="1"/>
  <c r="AG113" i="2"/>
  <c r="G153" i="2"/>
  <c r="G154" i="2" s="1"/>
  <c r="AG153" i="2"/>
  <c r="N151" i="2"/>
  <c r="G134" i="2"/>
  <c r="G135" i="2" s="1"/>
  <c r="N132" i="2"/>
  <c r="G121" i="2"/>
  <c r="G122" i="2" s="1"/>
  <c r="N119" i="2"/>
  <c r="N111" i="2"/>
  <c r="G105" i="2"/>
  <c r="G106" i="2" s="1"/>
  <c r="N103" i="2"/>
  <c r="G97" i="2"/>
  <c r="G98" i="2" s="1"/>
  <c r="N95" i="2"/>
  <c r="M121" i="2" l="1"/>
  <c r="I121" i="2"/>
  <c r="H27" i="2"/>
  <c r="J69" i="2"/>
  <c r="R74" i="2" s="1"/>
  <c r="G27" i="2"/>
  <c r="I134" i="2"/>
  <c r="J134" i="2" s="1"/>
  <c r="K134" i="2" s="1"/>
  <c r="M145" i="2"/>
  <c r="AI97" i="2"/>
  <c r="AJ97" i="2" s="1"/>
  <c r="AK97" i="2" s="1"/>
  <c r="I97" i="2" s="1"/>
  <c r="M97" i="2" s="1"/>
  <c r="N97" i="2" s="1"/>
  <c r="AI105" i="2"/>
  <c r="AJ105" i="2" s="1"/>
  <c r="AK105" i="2" s="1"/>
  <c r="I105" i="2" s="1"/>
  <c r="J105" i="2" s="1"/>
  <c r="K105" i="2" s="1"/>
  <c r="O121" i="2"/>
  <c r="M153" i="2"/>
  <c r="I145" i="2"/>
  <c r="M134" i="2"/>
  <c r="I153" i="2"/>
  <c r="AI113" i="2"/>
  <c r="AJ113" i="2" s="1"/>
  <c r="AK113" i="2" s="1"/>
  <c r="I113" i="2" s="1"/>
  <c r="M113" i="2" s="1"/>
  <c r="I63" i="2"/>
  <c r="J63" i="2" s="1"/>
  <c r="AG74" i="2"/>
  <c r="AH42" i="2"/>
  <c r="AI42" i="2" s="1"/>
  <c r="AJ42" i="2" s="1"/>
  <c r="AK42" i="2" s="1"/>
  <c r="I42" i="2" s="1"/>
  <c r="G75" i="2"/>
  <c r="I82" i="2"/>
  <c r="J82" i="2" s="1"/>
  <c r="K82" i="2" s="1"/>
  <c r="AH26" i="2"/>
  <c r="AI26" i="2" s="1"/>
  <c r="M50" i="2"/>
  <c r="M82" i="2"/>
  <c r="H83" i="2"/>
  <c r="G35" i="2"/>
  <c r="G51" i="2"/>
  <c r="I50" i="2"/>
  <c r="AH34" i="2"/>
  <c r="AI34" i="2" s="1"/>
  <c r="AJ34" i="2" s="1"/>
  <c r="AK34" i="2" s="1"/>
  <c r="AL34" i="2" s="1"/>
  <c r="M63" i="2"/>
  <c r="R26" i="2"/>
  <c r="N121" i="2" l="1"/>
  <c r="P121" i="2" s="1"/>
  <c r="AF82" i="2"/>
  <c r="T82" i="2"/>
  <c r="T83" i="2" s="1"/>
  <c r="O145" i="2"/>
  <c r="N145" i="2"/>
  <c r="M74" i="2"/>
  <c r="O153" i="2"/>
  <c r="I74" i="2"/>
  <c r="AF74" i="2" s="1"/>
  <c r="O97" i="2"/>
  <c r="P97" i="2" s="1"/>
  <c r="M105" i="2"/>
  <c r="N105" i="2" s="1"/>
  <c r="J113" i="2"/>
  <c r="K113" i="2" s="1"/>
  <c r="AE63" i="2"/>
  <c r="AF63" i="2"/>
  <c r="N153" i="2"/>
  <c r="J153" i="2"/>
  <c r="K153" i="2" s="1"/>
  <c r="K63" i="2"/>
  <c r="N134" i="2"/>
  <c r="O134" i="2"/>
  <c r="J145" i="2"/>
  <c r="K145" i="2" s="1"/>
  <c r="S82" i="2"/>
  <c r="S83" i="2" s="1"/>
  <c r="N82" i="2"/>
  <c r="AE82" i="2"/>
  <c r="O82" i="2"/>
  <c r="O50" i="2"/>
  <c r="T50" i="2"/>
  <c r="T51" i="2" s="1"/>
  <c r="N50" i="2"/>
  <c r="I34" i="2"/>
  <c r="X34" i="2" s="1"/>
  <c r="AE50" i="2"/>
  <c r="AF50" i="2"/>
  <c r="S50" i="2"/>
  <c r="S51" i="2" s="1"/>
  <c r="Z42" i="2"/>
  <c r="Z43" i="2" s="1"/>
  <c r="X42" i="2"/>
  <c r="X43" i="2" s="1"/>
  <c r="Y42" i="2"/>
  <c r="Y43" i="2" s="1"/>
  <c r="J42" i="2"/>
  <c r="K42" i="2" s="1"/>
  <c r="AE42" i="2"/>
  <c r="AA42" i="2"/>
  <c r="AA43" i="2" s="1"/>
  <c r="AF42" i="2"/>
  <c r="N63" i="2"/>
  <c r="T63" i="2"/>
  <c r="T64" i="2" s="1"/>
  <c r="O63" i="2"/>
  <c r="S63" i="2"/>
  <c r="S64" i="2" s="1"/>
  <c r="M42" i="2"/>
  <c r="AJ26" i="2"/>
  <c r="P145" i="2" l="1"/>
  <c r="AE74" i="2"/>
  <c r="O74" i="2"/>
  <c r="P153" i="2"/>
  <c r="N74" i="2"/>
  <c r="T74" i="2"/>
  <c r="T75" i="2" s="1"/>
  <c r="P82" i="2"/>
  <c r="S74" i="2"/>
  <c r="S75" i="2" s="1"/>
  <c r="J74" i="2"/>
  <c r="K74" i="2" s="1"/>
  <c r="O105" i="2"/>
  <c r="P105" i="2" s="1"/>
  <c r="O113" i="2"/>
  <c r="N113" i="2"/>
  <c r="P134" i="2"/>
  <c r="P50" i="2"/>
  <c r="Z34" i="2"/>
  <c r="Z35" i="2" s="1"/>
  <c r="J34" i="2"/>
  <c r="Y34" i="2"/>
  <c r="Y35" i="2" s="1"/>
  <c r="AF34" i="2"/>
  <c r="X35" i="2"/>
  <c r="K34" i="2"/>
  <c r="AE34" i="2"/>
  <c r="AA34" i="2"/>
  <c r="AA35" i="2" s="1"/>
  <c r="O42" i="2"/>
  <c r="T42" i="2"/>
  <c r="N42" i="2"/>
  <c r="S42" i="2"/>
  <c r="S43" i="2" s="1"/>
  <c r="P63" i="2"/>
  <c r="M34" i="2"/>
  <c r="AK26" i="2"/>
  <c r="AL26" i="2" s="1"/>
  <c r="P74" i="2" l="1"/>
  <c r="P113" i="2"/>
  <c r="P42" i="2"/>
  <c r="S34" i="2"/>
  <c r="S35" i="2" s="1"/>
  <c r="N34" i="2"/>
  <c r="T34" i="2"/>
  <c r="O34" i="2"/>
  <c r="U42" i="2"/>
  <c r="T43" i="2"/>
  <c r="AM26" i="2"/>
  <c r="AN26" i="2" s="1"/>
  <c r="P34" i="2" l="1"/>
  <c r="U34" i="2"/>
  <c r="T35" i="2"/>
  <c r="I26" i="2"/>
  <c r="M26" i="2" s="1"/>
  <c r="S26" i="2" l="1"/>
  <c r="S27" i="2" s="1"/>
  <c r="AF26" i="2"/>
  <c r="AE26" i="2"/>
  <c r="Z26" i="2"/>
  <c r="Z27" i="2" s="1"/>
  <c r="Y26" i="2"/>
  <c r="Y27" i="2" s="1"/>
  <c r="X26" i="2"/>
  <c r="X27" i="2" s="1"/>
  <c r="AA26" i="2"/>
  <c r="AA27" i="2" s="1"/>
  <c r="O26" i="2" l="1"/>
  <c r="T26" i="2"/>
  <c r="U26" i="2" s="1"/>
  <c r="N26" i="2"/>
  <c r="T27" i="2" l="1"/>
  <c r="P26" i="2"/>
</calcChain>
</file>

<file path=xl/comments1.xml><?xml version="1.0" encoding="utf-8"?>
<comments xmlns="http://schemas.openxmlformats.org/spreadsheetml/2006/main">
  <authors>
    <author>Will Hopkins</author>
    <author>whopkins</author>
    <author>Will</author>
    <author>Reviewer</author>
    <author>Hopkins</author>
  </authors>
  <commentList>
    <comment ref="J2" authorId="0" shapeId="0">
      <text>
        <r>
          <rPr>
            <b/>
            <sz val="8"/>
            <color indexed="81"/>
            <rFont val="Tahoma"/>
            <family val="2"/>
          </rPr>
          <t xml:space="preserve">July: </t>
        </r>
        <r>
          <rPr>
            <sz val="8"/>
            <color indexed="81"/>
            <rFont val="Tahoma"/>
            <family val="2"/>
          </rPr>
          <t>Text and comments updated to bring them into line with MBD as hypothesis tests, plus other minor edits, including clarification of how to use standardization for smallest importants.</t>
        </r>
      </text>
    </comment>
    <comment ref="K2" authorId="0" shapeId="0">
      <text>
        <r>
          <rPr>
            <b/>
            <sz val="8"/>
            <color indexed="81"/>
            <rFont val="Tahoma"/>
            <family val="2"/>
          </rPr>
          <t xml:space="preserve">Apr: </t>
        </r>
        <r>
          <rPr>
            <sz val="8"/>
            <color indexed="81"/>
            <rFont val="Tahoma"/>
            <family val="2"/>
          </rPr>
          <t>Redesigned cells for count ratios, including sample size for crossovers and controlled trials with count-ratio outcome.</t>
        </r>
      </text>
    </comment>
    <comment ref="M2" authorId="1" shapeId="0">
      <text>
        <r>
          <rPr>
            <b/>
            <sz val="8"/>
            <color indexed="81"/>
            <rFont val="Tahoma"/>
            <family val="2"/>
          </rPr>
          <t>Nov 16:</t>
        </r>
        <r>
          <rPr>
            <sz val="8"/>
            <color indexed="81"/>
            <rFont val="Tahoma"/>
            <family val="2"/>
          </rPr>
          <t xml:space="preserve"> Sample sizes via statistical significance for crossovers, controlled trials and differences in means now have lower limits to prevent incorrect estimation when the typical error or between-subject SD is too small relative to the smallest important change or difference. A message will appear if this situation arises when you input values.</t>
        </r>
        <r>
          <rPr>
            <b/>
            <sz val="8"/>
            <color indexed="81"/>
            <rFont val="Tahoma"/>
            <family val="2"/>
          </rPr>
          <t xml:space="preserve">
June 24: </t>
        </r>
        <r>
          <rPr>
            <sz val="8"/>
            <color indexed="81"/>
            <rFont val="Tahoma"/>
            <family val="2"/>
          </rPr>
          <t>Added panel at right for using a published intervention to get a within-subject SD to use in the main spreadsheet for sample size in a crossover or pre-post parallel-groups trial.</t>
        </r>
      </text>
    </comment>
    <comment ref="B3" authorId="2" shapeId="0">
      <text>
        <r>
          <rPr>
            <sz val="8"/>
            <color indexed="81"/>
            <rFont val="Tahoma"/>
            <family val="2"/>
          </rPr>
          <t>Hopkins, WG. Sample sizes for various inferential methods. Sportscience 24, 17-27, 2020 (sportsci.org/2020/MBDss.htm)</t>
        </r>
      </text>
    </comment>
    <comment ref="J3" authorId="0" shapeId="0">
      <text>
        <r>
          <rPr>
            <b/>
            <sz val="8"/>
            <color indexed="81"/>
            <rFont val="Tahoma"/>
            <family val="2"/>
          </rPr>
          <t xml:space="preserve">Nov: </t>
        </r>
        <r>
          <rPr>
            <sz val="8"/>
            <color indexed="81"/>
            <rFont val="Tahoma"/>
            <family val="2"/>
          </rPr>
          <t>Modified instructions for estimating sample size for effects larger than the smallest important. Added the text on the right about reading the article for more sample sizes.</t>
        </r>
        <r>
          <rPr>
            <b/>
            <sz val="8"/>
            <color indexed="81"/>
            <rFont val="Tahoma"/>
            <family val="2"/>
          </rPr>
          <t xml:space="preserve">
Oct: </t>
        </r>
        <r>
          <rPr>
            <sz val="8"/>
            <color indexed="81"/>
            <rFont val="Tahoma"/>
            <family val="2"/>
          </rPr>
          <t xml:space="preserve">Corrected the comment in the </t>
        </r>
        <r>
          <rPr>
            <b/>
            <sz val="8"/>
            <color indexed="81"/>
            <rFont val="Tahoma"/>
            <family val="2"/>
          </rPr>
          <t>Between-subject SD</t>
        </r>
        <r>
          <rPr>
            <sz val="8"/>
            <color indexed="81"/>
            <rFont val="Tahoma"/>
            <family val="2"/>
          </rPr>
          <t xml:space="preserve"> cell for a pre-post parallel-groups controlled trial. (The previous comment was copied without editing from the corresponding cell for crossovers.) </t>
        </r>
        <r>
          <rPr>
            <b/>
            <sz val="8"/>
            <color indexed="81"/>
            <rFont val="Tahoma"/>
            <family val="2"/>
          </rPr>
          <t xml:space="preserve">
June:</t>
        </r>
        <r>
          <rPr>
            <sz val="8"/>
            <color indexed="81"/>
            <rFont val="Tahoma"/>
            <family val="2"/>
          </rPr>
          <t xml:space="preserve"> Added </t>
        </r>
        <r>
          <rPr>
            <b/>
            <sz val="8"/>
            <color indexed="81"/>
            <rFont val="Tahoma"/>
            <family val="2"/>
          </rPr>
          <t>Between-subject SD</t>
        </r>
        <r>
          <rPr>
            <sz val="8"/>
            <color indexed="81"/>
            <rFont val="Tahoma"/>
            <family val="2"/>
          </rPr>
          <t xml:space="preserve"> to the post-only crossover and pre-post parallel groups and updated the formulae to estimate the smaller sample sizes that are possible when the control (in the crossover) or preteest (in the controlled trial) is used as a covariate.</t>
        </r>
        <r>
          <rPr>
            <b/>
            <sz val="8"/>
            <color indexed="81"/>
            <rFont val="Tahoma"/>
            <family val="2"/>
          </rPr>
          <t xml:space="preserve">
Apr: </t>
        </r>
        <r>
          <rPr>
            <sz val="8"/>
            <color indexed="81"/>
            <rFont val="Tahoma"/>
            <family val="2"/>
          </rPr>
          <t xml:space="preserve">Clarified calculation of typical error from a retest correlation in the comment of the cells for </t>
        </r>
        <r>
          <rPr>
            <b/>
            <sz val="8"/>
            <color indexed="81"/>
            <rFont val="Tahoma"/>
            <family val="2"/>
          </rPr>
          <t>Within-subject SD (typical error)</t>
        </r>
        <r>
          <rPr>
            <sz val="8"/>
            <color indexed="81"/>
            <rFont val="Tahoma"/>
            <family val="2"/>
          </rPr>
          <t>.</t>
        </r>
      </text>
    </comment>
    <comment ref="K3" authorId="0" shapeId="0">
      <text>
        <r>
          <rPr>
            <b/>
            <sz val="8"/>
            <color indexed="81"/>
            <rFont val="Tahoma"/>
            <family val="2"/>
          </rPr>
          <t xml:space="preserve">Oct: </t>
        </r>
        <r>
          <rPr>
            <sz val="8"/>
            <color indexed="81"/>
            <rFont val="Tahoma"/>
            <family val="2"/>
          </rPr>
          <t>Added cell with information about smallest mean effects.</t>
        </r>
        <r>
          <rPr>
            <b/>
            <sz val="8"/>
            <color indexed="81"/>
            <rFont val="Tahoma"/>
            <family val="2"/>
          </rPr>
          <t xml:space="preserve">
June:</t>
        </r>
        <r>
          <rPr>
            <sz val="8"/>
            <color indexed="81"/>
            <rFont val="Tahoma"/>
            <family val="2"/>
          </rPr>
          <t xml:space="preserve"> added comment about using the panel at right to get SEs for a meta-analysis of interventions.</t>
        </r>
      </text>
    </comment>
    <comment ref="M3" authorId="1" shapeId="0">
      <text>
        <r>
          <rPr>
            <b/>
            <sz val="8"/>
            <color indexed="81"/>
            <rFont val="Tahoma"/>
            <family val="2"/>
          </rPr>
          <t>21 Oct</t>
        </r>
        <r>
          <rPr>
            <sz val="8"/>
            <color indexed="81"/>
            <rFont val="Tahoma"/>
            <family val="2"/>
          </rPr>
          <t>. There is now a single set of defaults for ratio effects (risks, proportions, hazards, odds). See the article/slideshow on Linear Models and Effect Magnitudes for more. There are also now instructions in Row 11 on how to determine the magnitude of effect you can quantify with a fixed sample size.</t>
        </r>
      </text>
    </comment>
    <comment ref="K4" authorId="0" shapeId="0">
      <text>
        <r>
          <rPr>
            <b/>
            <sz val="8"/>
            <color indexed="81"/>
            <rFont val="Tahoma"/>
            <family val="2"/>
          </rPr>
          <t>Aug 19</t>
        </r>
        <r>
          <rPr>
            <sz val="8"/>
            <color indexed="81"/>
            <rFont val="Tahoma"/>
            <family val="2"/>
          </rPr>
          <t xml:space="preserve">: Cells in columns X to AA updated and simplfied for calculating rates of various kinds of magnitude-based outcome for a given true value.  
</t>
        </r>
      </text>
    </comment>
    <comment ref="M4" authorId="1" shapeId="0">
      <text>
        <r>
          <rPr>
            <sz val="8"/>
            <color indexed="81"/>
            <rFont val="Tahoma"/>
            <family val="2"/>
          </rPr>
          <t>See main article for major updates 6 June 2011 and earlier updates.</t>
        </r>
      </text>
    </comment>
    <comment ref="B12" authorId="2" shapeId="0">
      <text>
        <r>
          <rPr>
            <sz val="9"/>
            <color indexed="81"/>
            <rFont val="Tahoma"/>
            <family val="2"/>
          </rPr>
          <t xml:space="preserve">Set the clinical Type-1 and Type-2 errors to 5%. 
For </t>
        </r>
        <r>
          <rPr>
            <b/>
            <sz val="9"/>
            <color indexed="81"/>
            <rFont val="Tahoma"/>
            <family val="2"/>
          </rPr>
          <t>superiority testing or minimum-effects testing</t>
        </r>
        <r>
          <rPr>
            <sz val="9"/>
            <color indexed="81"/>
            <rFont val="Tahoma"/>
            <family val="2"/>
          </rPr>
          <t xml:space="preserve">, put the expected substantial true value into the cell for the smallest beneficial effect. Now put the smallest important value (with the same sign as the expected substantial value) into the cell for the smallest harmful effect. If you make the expected substantial value 3x the smallest important (borderline small-moderate), you will get the same sample size as for MBD. 
For </t>
        </r>
        <r>
          <rPr>
            <b/>
            <sz val="9"/>
            <color indexed="81"/>
            <rFont val="Tahoma"/>
            <family val="2"/>
          </rPr>
          <t>equivalence testing</t>
        </r>
        <r>
          <rPr>
            <sz val="9"/>
            <color indexed="81"/>
            <rFont val="Tahoma"/>
            <family val="2"/>
          </rPr>
          <t>, put the expected trivial true value (positive or negative) into the cell for the smallest harmful effect. Now put the smallest important value with the same sign into the cell for the smallest beneficial effect. If you make the expected trivial value half the smallest important, you will get 16x the MBD sample size. 
You will see that the resulting compatibility intervals for both methods fall precisely in the range defined by the values you have inserted in the smallest-important cells, which is consistent with the way these methods are defined by hypothesis tests. 
The chances of magnitude of the true effect can be interpreted according to the values in the smallest important cells, but the cells on the far right showing chances of clear outcomes for chosen true effects are difficult to interpret.</t>
        </r>
      </text>
    </comment>
    <comment ref="P12" authorId="1" shapeId="0">
      <text>
        <r>
          <rPr>
            <sz val="8"/>
            <color indexed="81"/>
            <rFont val="Tahoma"/>
            <family val="2"/>
          </rPr>
          <t>The mean change in a single group (or crossover) or the difference in the changes in an experimental and control group,
This method does not work if the value is reported as exactly zero.</t>
        </r>
      </text>
    </comment>
    <comment ref="Q12" authorId="1" shapeId="0">
      <text>
        <r>
          <rPr>
            <sz val="8"/>
            <color indexed="81"/>
            <rFont val="Tahoma"/>
            <family val="2"/>
          </rPr>
          <t>If there is only one group, insert the number in either cell.</t>
        </r>
      </text>
    </comment>
    <comment ref="X12" authorId="1" shapeId="0">
      <text>
        <r>
          <rPr>
            <sz val="8"/>
            <color indexed="81"/>
            <rFont val="Tahoma"/>
            <family val="2"/>
          </rPr>
          <t>Not needed if a p value is used</t>
        </r>
      </text>
    </comment>
    <comment ref="Y12" authorId="1" shapeId="0">
      <text>
        <r>
          <rPr>
            <sz val="8"/>
            <color indexed="81"/>
            <rFont val="Tahoma"/>
            <family val="2"/>
          </rPr>
          <t>May differ from a reported value, but not important.</t>
        </r>
      </text>
    </comment>
    <comment ref="Z12" authorId="1" shapeId="0">
      <text>
        <r>
          <rPr>
            <sz val="8"/>
            <color indexed="81"/>
            <rFont val="Tahoma"/>
            <family val="2"/>
          </rPr>
          <t>This is shown for people interested in how the within-subject SD is estimated and for anyone wanting the SE for a meta-analysis.</t>
        </r>
      </text>
    </comment>
    <comment ref="AA12" authorId="1" shapeId="0">
      <text>
        <r>
          <rPr>
            <sz val="8"/>
            <color indexed="81"/>
            <rFont val="Tahoma"/>
            <family val="2"/>
          </rPr>
          <t>Transfer this value to the appropriate cell in the crossover or parallel-groups trial panels.</t>
        </r>
      </text>
    </comment>
    <comment ref="S13" authorId="1" shapeId="0">
      <text>
        <r>
          <rPr>
            <sz val="8"/>
            <color indexed="81"/>
            <rFont val="Tahoma"/>
            <family val="2"/>
          </rPr>
          <t>Must be a number, not an inequality.  If p&lt;0.05 or some value, insert 0.05 or the value. If p&gt;0.05, you can't use this approach: do not insert 0.05.</t>
        </r>
      </text>
    </comment>
    <comment ref="G16" authorId="3" shapeId="0">
      <text>
        <r>
          <rPr>
            <sz val="9"/>
            <color indexed="81"/>
            <rFont val="Tahoma"/>
            <family val="2"/>
          </rPr>
          <t>You set these maximum error rates. They combine with the smallest important effect (and other design-specific parameters) to give the minimum desirable sample size.
If you are doing a study in which benefit and harm are important, you will decide to make use of the effect when there is a low chance of harm (e.g., 0.5% at most) and a reasonable chance of benefit (e.g., 25% at least). These chances become the clinical Type-1 and Type-2 error rates, if the value you get in your study is equal to the "decision value": if you decide to use the effect, there is at most the Type-1 chance (0.5%, or "most unlikely") your subjects will suffer harm; if you decide not to use the effect, there is at most the Type-2 chance (25%, or "unlikely") that your subjects will miss out on benefit.  These defaults give sample sizes similar to those of mechanisms or non-clinical studies designed around 90% confidence limits (see below).
Note that what I call the clinical Type-1 and Type-2 errors are statistically the "alpha" rates of rejecting the harmful or beneficial hypotheses when the true effect is the smallest important harmful or beneficial value respectively. I also call them false-negative or failed-discovery errors, which are statistical Type-II errors. The clinical Type-1 and Type-2 errors are so named for the analogous way the statistical Type-I and Type-II errors work to give sample size in null-hypothesis significance testing. (The statistical Type-I error is the false-positive or false-discovery error: the rate of deciding that zero or trivial effects are substantial: statistically significant in NHST; at least possibly beneficial in clinical MBD; at least very likely substantial in MBD. This rate is controlled to 5% in NHST for true zero effects; it is not controlled in MBD and depends on the sample size.) 
If you are doing a mechanisms or other study in which the outcome statistic does not have benefit or harm, the rationale for the sample size is as follows. You don't want the confidence interval to overlap into substantial positive and substantial negative values in the worst-case scenario of an observed zero or null effect, because the effect would be unclear. To get the sample size, set the clinical Type-1 and Type-2 errors both to 5%, which are alphas representing false negatives of failed discovery of substantial effects.  Check out the compatibility limits of the resulting outcome in the spreadsheet to see how it just fits in the trivial range of values.</t>
        </r>
      </text>
    </comment>
    <comment ref="G18" authorId="3" shapeId="0">
      <text>
        <r>
          <rPr>
            <sz val="8"/>
            <color indexed="81"/>
            <rFont val="Tahoma"/>
            <family val="2"/>
          </rPr>
          <t>This is a false-negative or failed-discovery error rate: the error rate for deciding that an effect does not have a harmful value (or substantial value of a given sign), when the true effect is the smallest important harmful value (or substantial value of that sign).</t>
        </r>
      </text>
    </comment>
    <comment ref="H18" authorId="3" shapeId="0">
      <text>
        <r>
          <rPr>
            <sz val="8"/>
            <color indexed="81"/>
            <rFont val="Tahoma"/>
            <family val="2"/>
          </rPr>
          <t>This is also a false-negative or failed-discovery error rate: the error rate for deciding that an effect does not have a beneficial vsalue (or substantial value of a given sign), when the true effect is the smallest important benefical value (or substantial value of that sign).</t>
        </r>
      </text>
    </comment>
    <comment ref="B19" authorId="0" shapeId="0">
      <text>
        <r>
          <rPr>
            <sz val="8"/>
            <color indexed="81"/>
            <rFont val="Tahoma"/>
            <family val="2"/>
          </rPr>
          <t>See the article accompanying this spreadsheet for details and helpful links. In summary, options for choosing the smallest important change or difference in means are...
(a) A value for a difference or change in the dependent variable that predicts a smallest important difference or change in health (harm is an increase in risk of morbidity or mortality, by a factor of 1.11), wealth (probably by the same factor), or performance (see (c)).
(b) Clinical or practical experience, but it should be evidence-based, as in (a).
(c) For time or distance of solo-athlete competition performance, a value derived from analysis of competitions, usually 0.3 of the within-athlete competition-to-competition variability in the time or distance. Note that if you insert 0.3, then you must insert 1.0 for the typical error, and you end up with a large sample size. For a performance test, insert a value for a change in the test measure that would result in the smallest important change in competition performance. For fitness or performance indicators of a team-sport athlete, see (e).
(d) For a single Likert or visual-analog scale, 10 units of the measure rescaled to range from 0 to 100, i.e., 10% of "full-scale deflection".
(e) In the absence of (a-d), standardization, using a value given by Cohen's d, i.e., 0.20 times an appropriate between-subject SD, either the observed SD or the true (stable or pure) SD... 
The</t>
        </r>
        <r>
          <rPr>
            <b/>
            <sz val="8"/>
            <color indexed="81"/>
            <rFont val="Tahoma"/>
            <family val="2"/>
          </rPr>
          <t xml:space="preserve"> observed SD</t>
        </r>
        <r>
          <rPr>
            <sz val="8"/>
            <color indexed="81"/>
            <rFont val="Tahoma"/>
            <family val="2"/>
          </rPr>
          <t xml:space="preserve"> is the usual SD between the subjects, measured at baseline in a controlled trial or in the placebo or reference condition in a crossover. This option applies to any right-now comparisons. Examples: a performance indicator or fitness-test measure for a team-sport athlete; some comparisons of means in cross-sectional studies; psychometric variables derived from multi-item inventories.  You should still try to remove the contribution to the SD of short-term technical error arising from the measurement technique but not from the subjects themselves.  The short-term error is often negligible, in which case the observed SD needs no correction.
The </t>
        </r>
        <r>
          <rPr>
            <b/>
            <sz val="8"/>
            <color indexed="81"/>
            <rFont val="Tahoma"/>
            <family val="2"/>
          </rPr>
          <t>true (stable or pure) SD</t>
        </r>
        <r>
          <rPr>
            <sz val="8"/>
            <color indexed="81"/>
            <rFont val="Tahoma"/>
            <family val="2"/>
          </rPr>
          <t xml:space="preserve"> is given by </t>
        </r>
        <r>
          <rPr>
            <sz val="8"/>
            <color indexed="81"/>
            <rFont val="Symbol"/>
            <family val="1"/>
            <charset val="2"/>
          </rPr>
          <t>Ö</t>
        </r>
        <r>
          <rPr>
            <sz val="8"/>
            <color indexed="81"/>
            <rFont val="Tahoma"/>
            <family val="2"/>
          </rPr>
          <t xml:space="preserve">(observed SD^2 - e^2) or observed SD multiplied by </t>
        </r>
        <r>
          <rPr>
            <sz val="8"/>
            <color indexed="81"/>
            <rFont val="Symbol"/>
            <family val="1"/>
            <charset val="2"/>
          </rPr>
          <t>Ö</t>
        </r>
        <r>
          <rPr>
            <sz val="8"/>
            <color indexed="81"/>
            <rFont val="Tahoma"/>
            <family val="2"/>
          </rPr>
          <t>r, where e is the retest error and r is the retest or intraclass correlation coefficient. The error or r are for the time-frame that you consider defines individual "stable" (mean) subject values. So the smallest important would be 0.20*SD*</t>
        </r>
        <r>
          <rPr>
            <sz val="8"/>
            <color indexed="81"/>
            <rFont val="Symbol"/>
            <family val="1"/>
            <charset val="2"/>
          </rPr>
          <t>Ö</t>
        </r>
        <r>
          <rPr>
            <sz val="8"/>
            <color indexed="81"/>
            <rFont val="Tahoma"/>
            <family val="2"/>
          </rPr>
          <t>r.</t>
        </r>
      </text>
    </comment>
    <comment ref="O19" authorId="2" shapeId="0">
      <text>
        <r>
          <rPr>
            <sz val="9"/>
            <color indexed="81"/>
            <rFont val="Tahoma"/>
            <family val="2"/>
          </rPr>
          <t>Changing this value makes no difference to the sample size.</t>
        </r>
      </text>
    </comment>
    <comment ref="B23" authorId="4" shapeId="0">
      <text>
        <r>
          <rPr>
            <sz val="8"/>
            <color indexed="81"/>
            <rFont val="Tahoma"/>
            <family val="2"/>
          </rPr>
          <t>This value can be positive or negative.  
The default shown is for the smallest important change to be similar in magnitude to the within-subject error.  THIS IS NOT A RATIONALE FOR CHOOSING THE SMALLEST CHANGE. It merely illustrates that you need much smaller sample sizes for crossovers and controlled trials than for cross-sectional and other non-experimental studies.
See "Hover cursor..." above for more information about smallest effects for means.
If you enter the smallest harmful in standardized units (a Cohen's d of 0.20 or -0.20), you must enter the within-subject SD in standardized units, too, and enter the observed between-subject SD as 1.00. A value of 0.20 or -0.20 is appropriate, if the observed SD is used for standardizing (e.g., for fitness tests and performance indicators of team-sport athletes). If the true SD is used (e.g., for health indicators and some psychometrics), you should enter a value of 0.20*√r, where r is the retest or intraclass correlation over the period of study.</t>
        </r>
      </text>
    </comment>
    <comment ref="C23" authorId="4" shapeId="0">
      <text>
        <r>
          <rPr>
            <sz val="8"/>
            <color indexed="81"/>
            <rFont val="Tahoma"/>
            <family val="2"/>
          </rPr>
          <t xml:space="preserve">This default is the smallest harmful change, with opposite sign. </t>
        </r>
      </text>
    </comment>
    <comment ref="D23" authorId="4" shapeId="0">
      <text>
        <r>
          <rPr>
            <sz val="8"/>
            <color indexed="81"/>
            <rFont val="Tahoma"/>
            <family val="2"/>
          </rPr>
          <t>Also known as the standard error of measurement or typical error, TE. It can be estimated from a reliability study with subjects and time between trials comparable to those in your study.  If you have a retest or intraclass correlation coefficient r, then TE = SDobs*√(1-r), where SDobs is the observed between-subject standard deviation.  The typical error is also the SD of the change scores in a reliability study divided by root 2.
It's better to estimate TE from a published study or studies using similar subjects, methods and dependent variable (and not necessarily the same kind of intervention) as in your study. See the panel of cells at top right.
Make sure the TE is in the same units as the smallest important value.
If you are using standardized units for the smallest important (by putting 0.20 or 0.20*√r in the cell for smallest harmful change), you must insert the TE in standardized units, too: TE/SDobs or √(1-r).</t>
        </r>
      </text>
    </comment>
    <comment ref="E23" authorId="4" shapeId="0">
      <text>
        <r>
          <rPr>
            <sz val="8"/>
            <color indexed="81"/>
            <rFont val="Tahoma"/>
            <family val="2"/>
          </rPr>
          <t>Insert here a value for the observed (not pure or true) SD. The value must be</t>
        </r>
        <r>
          <rPr>
            <sz val="8"/>
            <color indexed="81"/>
            <rFont val="Symbol"/>
            <family val="1"/>
            <charset val="2"/>
          </rPr>
          <t xml:space="preserve"> ³</t>
        </r>
        <r>
          <rPr>
            <sz val="8"/>
            <color indexed="81"/>
            <rFont val="Tahoma"/>
            <family val="2"/>
          </rPr>
          <t xml:space="preserve"> within-subject SD.
When the pre-test is used as a covariate either to predict the post-test or to predict the post-pre change score, the effective error of measurement is reduced in a manner that depends on the relative magnitudes of the between- and within-subject SDs.  For between-subject SD &gt;&gt; within-subject SD, there is no reduction.  Maximum reduction occurs when between-subject SD = within-subject SD; that is, there are no real differences between subjects, or retest correlation = 0.00.
If you are using standardized units for the smallest important and typical error, you must insert 1.00 in this cell.</t>
        </r>
      </text>
    </comment>
    <comment ref="M23" authorId="3" shapeId="0">
      <text>
        <r>
          <rPr>
            <sz val="8"/>
            <color indexed="81"/>
            <rFont val="Tahoma"/>
            <family val="2"/>
          </rPr>
          <t>The value shown is the "decision" value: values either side of this value lead to decisions to use or not to use the effect, for the sample size shown.</t>
        </r>
      </text>
    </comment>
    <comment ref="Q23" authorId="3" shapeId="0">
      <text>
        <r>
          <rPr>
            <sz val="8"/>
            <color indexed="81"/>
            <rFont val="Tahoma"/>
            <family val="2"/>
          </rPr>
          <t>Value shown is the smallest harmful value.</t>
        </r>
      </text>
    </comment>
    <comment ref="R23" authorId="3" shapeId="0">
      <text>
        <r>
          <rPr>
            <sz val="8"/>
            <color indexed="81"/>
            <rFont val="Tahoma"/>
            <family val="2"/>
          </rPr>
          <t>Value shown is the smallest beneficial value.</t>
        </r>
      </text>
    </comment>
    <comment ref="X23" authorId="3" shapeId="0">
      <text>
        <r>
          <rPr>
            <sz val="8"/>
            <color indexed="81"/>
            <rFont val="Tahoma"/>
            <family val="2"/>
          </rPr>
          <t>That is, when you do the study, these are the chances (or rates) with which you can expect to get a clear outcome that is</t>
        </r>
        <r>
          <rPr>
            <b/>
            <sz val="8"/>
            <color indexed="81"/>
            <rFont val="Tahoma"/>
            <family val="2"/>
          </rPr>
          <t xml:space="preserve"> at least</t>
        </r>
        <r>
          <rPr>
            <sz val="8"/>
            <color indexed="81"/>
            <rFont val="Tahoma"/>
            <family val="2"/>
          </rPr>
          <t xml:space="preserve"> each of the following:
possibly beneficial (for a clinical effect) or substantial (for a non-clinical effect);
likely beneficial or substantial;
very likely beneficial or substantial;
most likely beneficial or substantial.
Beneficial outcomes are evaluated when the chosen Type 1 error rate is less than the chosen Type 2. 
Substantial outcomes are evaluated when Type 1 = Type 2.</t>
        </r>
      </text>
    </comment>
    <comment ref="I25" authorId="3" shapeId="0">
      <text>
        <r>
          <rPr>
            <sz val="9"/>
            <color indexed="81"/>
            <rFont val="Tahoma"/>
            <family val="2"/>
          </rPr>
          <t>Insert a different sample size in this cell to see the effect on confidence limits and chances. Clear the cell when finished.</t>
        </r>
      </text>
    </comment>
    <comment ref="M25" authorId="3" shapeId="0">
      <text>
        <r>
          <rPr>
            <sz val="9"/>
            <color indexed="81"/>
            <rFont val="Tahoma"/>
            <family val="2"/>
          </rPr>
          <t>Insert a different value of the outcome statistic in this cell to see the effect on confidence limits and chances. Clear the cell when finished.</t>
        </r>
      </text>
    </comment>
    <comment ref="X25" authorId="0" shapeId="0">
      <text>
        <r>
          <rPr>
            <sz val="8"/>
            <color indexed="81"/>
            <rFont val="Tahoma"/>
            <family val="2"/>
          </rPr>
          <t xml:space="preserve">The observed chance that the true effect is beneficial or substantial is &gt;25%
</t>
        </r>
      </text>
    </comment>
    <comment ref="Y25" authorId="0" shapeId="0">
      <text>
        <r>
          <rPr>
            <sz val="8"/>
            <color indexed="81"/>
            <rFont val="Tahoma"/>
            <family val="2"/>
          </rPr>
          <t xml:space="preserve">The observed chance that the true effect is beneficial or substantial is &gt;75%
</t>
        </r>
      </text>
    </comment>
    <comment ref="Z25" authorId="0" shapeId="0">
      <text>
        <r>
          <rPr>
            <sz val="8"/>
            <color indexed="81"/>
            <rFont val="Tahoma"/>
            <family val="2"/>
          </rPr>
          <t xml:space="preserve">The observed chance that the true effect is beneficial or substantial is &gt;95%
</t>
        </r>
      </text>
    </comment>
    <comment ref="AA25" authorId="0" shapeId="0">
      <text>
        <r>
          <rPr>
            <sz val="8"/>
            <color indexed="81"/>
            <rFont val="Tahoma"/>
            <family val="2"/>
          </rPr>
          <t xml:space="preserve">The observed chance that the true effect is beneficial or substantial is &gt;99.5%
</t>
        </r>
      </text>
    </comment>
    <comment ref="B30" authorId="2" shapeId="0">
      <text>
        <r>
          <rPr>
            <sz val="9"/>
            <color indexed="81"/>
            <rFont val="Tahoma"/>
            <family val="2"/>
          </rPr>
          <t>A pre-post crossover is similar to a pre-post parallel-groups controlled trial, but the same subjects do the active and control treatments. You have to assume the worst-case scenario of independence of the subjects' responses to the two treatments. The number of subjects is half that shown by the spreadsheet, because it is the same subjects! 
If the estimate of within-subject SD (typical error) comes from another similar pre-post crossover using the panel of cells at top right (in which you have entered the data as if they came from a parallel-groups trial), then this orange panel of cells correctly accounts for interdependence of the responses to the two treatments.</t>
        </r>
      </text>
    </comment>
    <comment ref="B31" authorId="4" shapeId="0">
      <text>
        <r>
          <rPr>
            <sz val="8"/>
            <color indexed="81"/>
            <rFont val="Tahoma"/>
            <family val="2"/>
          </rPr>
          <t>This value can be positive or negative.  
The default shown is for the smallest important change to be similar in magnitude to the within-subject error.  THIS IS NOT A RATIONALE FOR CHOOSING THE SMALLEST CHANGE. It merely illustrates that you need much smaller sample sizes for crossovers and controlled trials than for cross-sectional and other non-experimental studies.
See "Hover cursor..." above for more information about smallest effects for means.
If you enter the smallest harmful in standardized units (a Cohen's d of 0.20 or -0.20), you must enter the within-subject SD in standardized units, too, and enter the observed between-subject SD as 1.00. A value of 0.20 or -0.20 is appropriate, if the observed SD is used for standardizing (e.g., for fitness tests and performance indicators of team-sport athletes). If the true SD is used (e.g., for health indicators and some psychometrics), you should enter a value of 0.20*√r, where r is the retest or intraclass correlation over the period of study.</t>
        </r>
      </text>
    </comment>
    <comment ref="C31" authorId="4" shapeId="0">
      <text>
        <r>
          <rPr>
            <sz val="8"/>
            <color indexed="81"/>
            <rFont val="Tahoma"/>
            <family val="2"/>
          </rPr>
          <t xml:space="preserve">This default is the smallest harmful change, with opposite sign. </t>
        </r>
      </text>
    </comment>
    <comment ref="D31" authorId="4" shapeId="0">
      <text>
        <r>
          <rPr>
            <sz val="8"/>
            <color indexed="81"/>
            <rFont val="Tahoma"/>
            <family val="2"/>
          </rPr>
          <t>Also known as the standard error of measurement or typical error, TE. It can be estimated from a reliability study with subjects and time between trials comparable to those in your study.  If you have a retest or intraclass correlation coefficient r, then TE = SDobs*√(1-r), where SDobs is the observed between-subject standard deviation.  The typical error is also the SD of the change scores in a reliability study divided by root 2.
It's better to estimate TE from a published study or studies using similar subjects, methods and dependent variable (and not necessarily the same kind of intervention) as in your study. See the panel of cells at top right.
Make sure the TE is in the same units as the smallest important value.
If you are using standardized units for the smallest important (by putting 0.20 or 0.20*√r in the cell for smallest harmful change), you must insert the TE in standardized units, too: TE/SDobs or √(1-r).</t>
        </r>
      </text>
    </comment>
    <comment ref="E31" authorId="4" shapeId="0">
      <text>
        <r>
          <rPr>
            <sz val="8"/>
            <color indexed="81"/>
            <rFont val="Tahoma"/>
            <family val="2"/>
          </rPr>
          <t>Insert here a value for the observed (not pure or true) SD. The value must be</t>
        </r>
        <r>
          <rPr>
            <sz val="8"/>
            <color indexed="81"/>
            <rFont val="Symbol"/>
            <family val="1"/>
            <charset val="2"/>
          </rPr>
          <t xml:space="preserve"> ³</t>
        </r>
        <r>
          <rPr>
            <sz val="8"/>
            <color indexed="81"/>
            <rFont val="Tahoma"/>
            <family val="2"/>
          </rPr>
          <t xml:space="preserve"> within-subject SD.
When the pre-test is used as a covariate either to predict the post-test or to predict the post-pre change score, the effective error of measurement is reduced in a manner that depends on the relative magnitudes of the between- and within-subject SDs.  For between-subject SD &gt;&gt; within-subject SD, there is no reduction.  Maximum reduction occurs when between-subject SD = within-subject SD; that is, there are no real differences between subjects, or retest correlation = 0.00.
If you are using standardized units for the smallest important and typical error, you must insert 1.00 in this cell.</t>
        </r>
      </text>
    </comment>
    <comment ref="F31" authorId="3" shapeId="0">
      <text>
        <r>
          <rPr>
            <sz val="8"/>
            <color indexed="81"/>
            <rFont val="Tahoma"/>
            <family val="2"/>
          </rPr>
          <t>Usually 50%, which gives the smallest overall sample size.</t>
        </r>
      </text>
    </comment>
    <comment ref="M31" authorId="3" shapeId="0">
      <text>
        <r>
          <rPr>
            <sz val="8"/>
            <color indexed="81"/>
            <rFont val="Tahoma"/>
            <family val="2"/>
          </rPr>
          <t>The value shown is the "decision" value: values either side of this value lead to decisions to use or not to use the effect, for the sample size shown.</t>
        </r>
      </text>
    </comment>
    <comment ref="Q31" authorId="3" shapeId="0">
      <text>
        <r>
          <rPr>
            <sz val="8"/>
            <color indexed="81"/>
            <rFont val="Tahoma"/>
            <family val="2"/>
          </rPr>
          <t>Value shown is the smallest harmful value.</t>
        </r>
      </text>
    </comment>
    <comment ref="R31" authorId="3" shapeId="0">
      <text>
        <r>
          <rPr>
            <sz val="8"/>
            <color indexed="81"/>
            <rFont val="Tahoma"/>
            <family val="2"/>
          </rPr>
          <t>Value shown is the smallest beneficial value.</t>
        </r>
      </text>
    </comment>
    <comment ref="X31" authorId="3" shapeId="0">
      <text>
        <r>
          <rPr>
            <sz val="8"/>
            <color indexed="81"/>
            <rFont val="Tahoma"/>
            <family val="2"/>
          </rPr>
          <t>That is, when you do the study, these are the chances (or rates) with which you can expect to get a clear outcome that is</t>
        </r>
        <r>
          <rPr>
            <b/>
            <sz val="8"/>
            <color indexed="81"/>
            <rFont val="Tahoma"/>
            <family val="2"/>
          </rPr>
          <t xml:space="preserve"> at least</t>
        </r>
        <r>
          <rPr>
            <sz val="8"/>
            <color indexed="81"/>
            <rFont val="Tahoma"/>
            <family val="2"/>
          </rPr>
          <t xml:space="preserve"> each of the following:
possibly beneficial (for a clinical effect) or substantial (for a non-clinical effect);
likely beneficial or substantial;
very likely beneficial or substantial;
most likely beneficial or substantial.
Beneficial outcomes are evaluated when the chosen Type 1 error rate is less than the chosen Type 2. 
Substantial outcomes are evaluated when Type 1 = Type 2.</t>
        </r>
      </text>
    </comment>
    <comment ref="I33" authorId="3" shapeId="0">
      <text>
        <r>
          <rPr>
            <sz val="9"/>
            <color indexed="81"/>
            <rFont val="Tahoma"/>
            <family val="2"/>
          </rPr>
          <t>Insert a different sample size in this cell to see the effect on confidence limits and chances. Clear the cell when finished.</t>
        </r>
      </text>
    </comment>
    <comment ref="M33" authorId="3" shapeId="0">
      <text>
        <r>
          <rPr>
            <sz val="9"/>
            <color indexed="81"/>
            <rFont val="Tahoma"/>
            <family val="2"/>
          </rPr>
          <t>Insert a different value of the outcome statistic in this cell to see the effect on confidence limits and chances. Clear the cell when finished.</t>
        </r>
      </text>
    </comment>
    <comment ref="X33" authorId="0" shapeId="0">
      <text>
        <r>
          <rPr>
            <sz val="8"/>
            <color indexed="81"/>
            <rFont val="Tahoma"/>
            <family val="2"/>
          </rPr>
          <t xml:space="preserve">The observed chance that the true effect is beneficial or substantial is &gt;25%
</t>
        </r>
      </text>
    </comment>
    <comment ref="Y33" authorId="0" shapeId="0">
      <text>
        <r>
          <rPr>
            <sz val="8"/>
            <color indexed="81"/>
            <rFont val="Tahoma"/>
            <family val="2"/>
          </rPr>
          <t xml:space="preserve">The observed chance that the true effect is beneficial or substantial is &gt;75%
</t>
        </r>
      </text>
    </comment>
    <comment ref="Z33" authorId="0" shapeId="0">
      <text>
        <r>
          <rPr>
            <sz val="8"/>
            <color indexed="81"/>
            <rFont val="Tahoma"/>
            <family val="2"/>
          </rPr>
          <t xml:space="preserve">The observed chance that the true effect is beneficial or substantial is &gt;95%
</t>
        </r>
      </text>
    </comment>
    <comment ref="AA33" authorId="0" shapeId="0">
      <text>
        <r>
          <rPr>
            <sz val="8"/>
            <color indexed="81"/>
            <rFont val="Tahoma"/>
            <family val="2"/>
          </rPr>
          <t xml:space="preserve">The observed chance that the true effect is beneficial or substantial is &gt;99.5%
</t>
        </r>
      </text>
    </comment>
    <comment ref="C39" authorId="4" shapeId="0">
      <text>
        <r>
          <rPr>
            <sz val="8"/>
            <color indexed="81"/>
            <rFont val="Tahoma"/>
            <family val="2"/>
          </rPr>
          <t>This value can be positive or negative.  
See "Hover cursor..." above for more information about smallest effects for means.
If you enter the smallest harmful difference in standardized units (a Cohen's d of 0.20 or -0.20), enter the observed between-subject SD as 1.00 (as shown). A value of 0.20 or -0.20 is appropriate, if the observed SD is used for standardizing (e.g., for fitness tests and performance indicators of team-sport athletes). If the true SD is used (e.g., for health indicators and some psychometrics), you should enter a value of 0.20*√r, where r is the retest or intraclass correlation over a period that defines stable between-subject differences (the true SD).</t>
        </r>
      </text>
    </comment>
    <comment ref="D39" authorId="4" shapeId="0">
      <text>
        <r>
          <rPr>
            <sz val="8"/>
            <color indexed="81"/>
            <rFont val="Tahoma"/>
            <family val="2"/>
          </rPr>
          <t xml:space="preserve">This default is the smallest harmful difference, with opposite sign.  </t>
        </r>
      </text>
    </comment>
    <comment ref="E39" authorId="3" shapeId="0">
      <text>
        <r>
          <rPr>
            <sz val="8"/>
            <color indexed="81"/>
            <rFont val="Tahoma"/>
            <family val="2"/>
          </rPr>
          <t xml:space="preserve">Insert here a value for the observed (not pure or true) SD. The default of 1.00 is appropriate if you are using a smallest standardized (Cohen) effect of 0.20.
Otherwise make sure this number is in the same units as the smallest important values.
</t>
        </r>
      </text>
    </comment>
    <comment ref="F39" authorId="3" shapeId="0">
      <text>
        <r>
          <rPr>
            <sz val="8"/>
            <color indexed="81"/>
            <rFont val="Tahoma"/>
            <family val="2"/>
          </rPr>
          <t>Usually 50%, which gives the smallest overall sample size.</t>
        </r>
      </text>
    </comment>
    <comment ref="M39" authorId="3" shapeId="0">
      <text>
        <r>
          <rPr>
            <sz val="8"/>
            <color indexed="81"/>
            <rFont val="Tahoma"/>
            <family val="2"/>
          </rPr>
          <t>The value shown is the "decision" value: values either side of this value lead to decisions to use or not to use the effect, for the sample size shown.</t>
        </r>
      </text>
    </comment>
    <comment ref="Q39" authorId="3" shapeId="0">
      <text>
        <r>
          <rPr>
            <sz val="8"/>
            <color indexed="81"/>
            <rFont val="Tahoma"/>
            <family val="2"/>
          </rPr>
          <t>Value shown is the smallest harmful value.</t>
        </r>
      </text>
    </comment>
    <comment ref="R39" authorId="3" shapeId="0">
      <text>
        <r>
          <rPr>
            <sz val="8"/>
            <color indexed="81"/>
            <rFont val="Tahoma"/>
            <family val="2"/>
          </rPr>
          <t>Value shown is the smallest beneficial value.</t>
        </r>
      </text>
    </comment>
    <comment ref="X39" authorId="3" shapeId="0">
      <text>
        <r>
          <rPr>
            <sz val="8"/>
            <color indexed="81"/>
            <rFont val="Tahoma"/>
            <family val="2"/>
          </rPr>
          <t>That is, when you do the study, these are the chances (or rates) with which you can expect to get a clear outcome that is</t>
        </r>
        <r>
          <rPr>
            <b/>
            <sz val="8"/>
            <color indexed="81"/>
            <rFont val="Tahoma"/>
            <family val="2"/>
          </rPr>
          <t xml:space="preserve"> at least</t>
        </r>
        <r>
          <rPr>
            <sz val="8"/>
            <color indexed="81"/>
            <rFont val="Tahoma"/>
            <family val="2"/>
          </rPr>
          <t xml:space="preserve"> each of the following:
possibly beneficial (for a clinical effect) or substantial (for a non-clinical effect);
likely beneficial or substantial;
very likely beneficial or substantial;
most likely beneficial or substantial.
Beneficial outcomes are evaluated when the chosen Type 1 error rate is less than the chosen Type 2. 
Substantial outcomes are evaluated when Type 1 = Type 2.</t>
        </r>
      </text>
    </comment>
    <comment ref="I41" authorId="3" shapeId="0">
      <text>
        <r>
          <rPr>
            <sz val="9"/>
            <color indexed="81"/>
            <rFont val="Tahoma"/>
            <family val="2"/>
          </rPr>
          <t>Insert a different sample size in this cell to see the effect on confidence limits and chances. Clear the cell when finished.</t>
        </r>
      </text>
    </comment>
    <comment ref="M41" authorId="3" shapeId="0">
      <text>
        <r>
          <rPr>
            <sz val="9"/>
            <color indexed="81"/>
            <rFont val="Tahoma"/>
            <family val="2"/>
          </rPr>
          <t>Insert a different value of the outcome statistic in this cell to see the effect on confidence limits and chances. Clear the cell when finished.</t>
        </r>
      </text>
    </comment>
    <comment ref="X41" authorId="0" shapeId="0">
      <text>
        <r>
          <rPr>
            <sz val="8"/>
            <color indexed="81"/>
            <rFont val="Tahoma"/>
            <family val="2"/>
          </rPr>
          <t xml:space="preserve">The observed chance that the true effect is beneficial or substantial is &gt;25%
</t>
        </r>
      </text>
    </comment>
    <comment ref="Y41" authorId="0" shapeId="0">
      <text>
        <r>
          <rPr>
            <sz val="8"/>
            <color indexed="81"/>
            <rFont val="Tahoma"/>
            <family val="2"/>
          </rPr>
          <t xml:space="preserve">The observed chance that the true effect is beneficial or substantial is &gt;75%
</t>
        </r>
      </text>
    </comment>
    <comment ref="Z41" authorId="0" shapeId="0">
      <text>
        <r>
          <rPr>
            <sz val="8"/>
            <color indexed="81"/>
            <rFont val="Tahoma"/>
            <family val="2"/>
          </rPr>
          <t xml:space="preserve">The observed chance that the true effect is beneficial or substantial is &gt;95%
</t>
        </r>
      </text>
    </comment>
    <comment ref="AA41" authorId="0" shapeId="0">
      <text>
        <r>
          <rPr>
            <sz val="8"/>
            <color indexed="81"/>
            <rFont val="Tahoma"/>
            <family val="2"/>
          </rPr>
          <t xml:space="preserve">The observed chance that the true effect is beneficial or substantial is &gt;99.5%
</t>
        </r>
      </text>
    </comment>
    <comment ref="C47" authorId="3" shapeId="0">
      <text>
        <r>
          <rPr>
            <sz val="8"/>
            <color indexed="81"/>
            <rFont val="Tahoma"/>
            <family val="2"/>
          </rPr>
          <t>This value can be positive or negative.  
The default value is 0.10, which is the smallest important correlation, according to Cohen.
A correlation would normally be assessed non-clinically, because a correlation is not normally "harmful". A correlation used as evidence to implement a treatment could be assessed clinically, but it would be better to assess the difference or change in the mean of the dependent variable associated with a defined difference or change in the predictor variable, usually 2 SD.</t>
        </r>
      </text>
    </comment>
    <comment ref="D47" authorId="3" shapeId="0">
      <text>
        <r>
          <rPr>
            <sz val="8"/>
            <color indexed="81"/>
            <rFont val="Tahoma"/>
            <family val="2"/>
          </rPr>
          <t xml:space="preserve">This default is the smallest harmful correlation, with opposite sign.  
</t>
        </r>
      </text>
    </comment>
    <comment ref="M47" authorId="3" shapeId="0">
      <text>
        <r>
          <rPr>
            <sz val="8"/>
            <color indexed="81"/>
            <rFont val="Tahoma"/>
            <family val="2"/>
          </rPr>
          <t>The value shown is the "decision" value: values either side of this value lead to decisions to use or not to use the effect, for the sample size shown.</t>
        </r>
      </text>
    </comment>
    <comment ref="Q47" authorId="3" shapeId="0">
      <text>
        <r>
          <rPr>
            <sz val="8"/>
            <color indexed="81"/>
            <rFont val="Tahoma"/>
            <family val="2"/>
          </rPr>
          <t>Value shown is the smallest harmful value.</t>
        </r>
      </text>
    </comment>
    <comment ref="R47" authorId="3" shapeId="0">
      <text>
        <r>
          <rPr>
            <sz val="8"/>
            <color indexed="81"/>
            <rFont val="Tahoma"/>
            <family val="2"/>
          </rPr>
          <t>Value shown is the smallest beneficial value.</t>
        </r>
      </text>
    </comment>
    <comment ref="E59" authorId="3" shapeId="0">
      <text>
        <r>
          <rPr>
            <sz val="8"/>
            <color indexed="81"/>
            <rFont val="Tahoma"/>
            <family val="2"/>
          </rPr>
          <t xml:space="preserve">Value shown is sqrt(mean count), which is the expected observed between-subject SD when there are no real differences between the subjects. If you have an observed SD (which will usually be larger than the expected SD, if there is "overdispersion" arising from real differences between subjects), insert it in the blank cell below. </t>
        </r>
        <r>
          <rPr>
            <sz val="9"/>
            <color indexed="81"/>
            <rFont val="Tahoma"/>
            <family val="2"/>
          </rPr>
          <t xml:space="preserve">
</t>
        </r>
      </text>
    </comment>
    <comment ref="F59" authorId="3" shapeId="0">
      <text>
        <r>
          <rPr>
            <sz val="9"/>
            <color indexed="81"/>
            <rFont val="Tahoma"/>
            <family val="2"/>
          </rPr>
          <t>Usually 50% for group comparison studies and controlled trials.
For cohort studies, you must supply the appropriate proportion for your study.</t>
        </r>
      </text>
    </comment>
    <comment ref="C60" authorId="3" shapeId="0">
      <text>
        <r>
          <rPr>
            <sz val="8"/>
            <color indexed="81"/>
            <rFont val="Tahoma"/>
            <family val="2"/>
          </rPr>
          <t>This value must be positive but it can be greater or less than 1.00.  
The default smallest important value is 1.11 (=10/9) or its inverse 0.90 (=9/10), which represents one count in 10 being due to something.</t>
        </r>
      </text>
    </comment>
    <comment ref="D60" authorId="4" shapeId="0">
      <text>
        <r>
          <rPr>
            <sz val="8"/>
            <color indexed="81"/>
            <rFont val="Tahoma"/>
            <family val="2"/>
          </rPr>
          <t>This default is the inverse of the smallest harmful count ratio.</t>
        </r>
      </text>
    </comment>
    <comment ref="M60" authorId="3" shapeId="0">
      <text>
        <r>
          <rPr>
            <sz val="8"/>
            <color indexed="81"/>
            <rFont val="Tahoma"/>
            <family val="2"/>
          </rPr>
          <t>The value shown is the "decision" value: values either side of this value lead to decisions to use or not to use the effect, for the sample size shown.</t>
        </r>
      </text>
    </comment>
    <comment ref="Q60" authorId="3" shapeId="0">
      <text>
        <r>
          <rPr>
            <sz val="8"/>
            <color indexed="81"/>
            <rFont val="Tahoma"/>
            <family val="2"/>
          </rPr>
          <t>Value shown is the smallest harmful value.</t>
        </r>
      </text>
    </comment>
    <comment ref="R60" authorId="3" shapeId="0">
      <text>
        <r>
          <rPr>
            <sz val="8"/>
            <color indexed="81"/>
            <rFont val="Tahoma"/>
            <family val="2"/>
          </rPr>
          <t>Value shown is the smallest beneficial value.</t>
        </r>
      </text>
    </comment>
    <comment ref="E62" authorId="0" shapeId="0">
      <text>
        <r>
          <rPr>
            <sz val="8"/>
            <color indexed="81"/>
            <rFont val="Tahoma"/>
            <family val="2"/>
          </rPr>
          <t>Insert a value for the observed between-subject SD, if available. Otherwise leave blank.</t>
        </r>
      </text>
    </comment>
    <comment ref="C68" authorId="3" shapeId="0">
      <text>
        <r>
          <rPr>
            <sz val="8"/>
            <color indexed="81"/>
            <rFont val="Tahoma"/>
            <family val="2"/>
          </rPr>
          <t>The default smallest important RR and HR is 1.11 (=10/9) or its inverse 0.90 (=9/10), which represents one occurrence or event in 10 being due to something.
For rare events (incidence or prevalence &lt;10%), the default smallest effect for an OR is the same as for RR and HR, because they are all effectively the same.
A smallest risk difference of 10% applies to wins/losses in match-play sports: 10% is equivalent to one extra game won or lost per 10 games.</t>
        </r>
      </text>
    </comment>
    <comment ref="D68" authorId="3" shapeId="0">
      <text>
        <r>
          <rPr>
            <sz val="9"/>
            <color indexed="81"/>
            <rFont val="Tahoma"/>
            <family val="2"/>
          </rPr>
          <t>The default is -(risk difference) and the inverse of the odds, hazard and risk ratios.</t>
        </r>
      </text>
    </comment>
    <comment ref="E68" authorId="3" shapeId="0">
      <text>
        <r>
          <rPr>
            <sz val="8"/>
            <color indexed="81"/>
            <rFont val="Tahoma"/>
            <family val="2"/>
          </rPr>
          <t>Value shown here is arbitrary.  You must use a reasonable estimate for your study.</t>
        </r>
      </text>
    </comment>
    <comment ref="H68" authorId="3" shapeId="0">
      <text>
        <r>
          <rPr>
            <sz val="9"/>
            <color indexed="81"/>
            <rFont val="Tahoma"/>
            <family val="2"/>
          </rPr>
          <t xml:space="preserve">The smallest harmful and beneficial effects are shown here as odds ratios and used to calculate sample size.
</t>
        </r>
      </text>
    </comment>
    <comment ref="I69" authorId="3" shapeId="0">
      <text>
        <r>
          <rPr>
            <sz val="9"/>
            <color indexed="81"/>
            <rFont val="Tahoma"/>
            <family val="2"/>
          </rPr>
          <t>Do not modify this cell.</t>
        </r>
      </text>
    </comment>
    <comment ref="J69" authorId="3" shapeId="0">
      <text>
        <r>
          <rPr>
            <sz val="9"/>
            <color indexed="81"/>
            <rFont val="Tahoma"/>
            <family val="2"/>
          </rPr>
          <t>Do not modify this cell.</t>
        </r>
      </text>
    </comment>
    <comment ref="F70" authorId="0" shapeId="0">
      <text>
        <r>
          <rPr>
            <sz val="8"/>
            <color indexed="81"/>
            <rFont val="Tahoma"/>
            <family val="2"/>
          </rPr>
          <t>Usually 50% for group comparison studies and controlled trials.
For cohort studies, you must supply the appropriate prevalence for your study.</t>
        </r>
      </text>
    </comment>
    <comment ref="M71" authorId="3" shapeId="0">
      <text>
        <r>
          <rPr>
            <sz val="8"/>
            <color indexed="81"/>
            <rFont val="Tahoma"/>
            <family val="2"/>
          </rPr>
          <t>The value shown is the "decision" value: values either side of this value lead to decisions to use or not to use the effect, for the sample size shown.</t>
        </r>
      </text>
    </comment>
    <comment ref="Q71" authorId="3" shapeId="0">
      <text>
        <r>
          <rPr>
            <sz val="8"/>
            <color indexed="81"/>
            <rFont val="Tahoma"/>
            <family val="2"/>
          </rPr>
          <t>Value shown is the smallest harmful value.</t>
        </r>
      </text>
    </comment>
    <comment ref="R71" authorId="3" shapeId="0">
      <text>
        <r>
          <rPr>
            <sz val="8"/>
            <color indexed="81"/>
            <rFont val="Tahoma"/>
            <family val="2"/>
          </rPr>
          <t>Value shown is the smallest beneficial value.</t>
        </r>
      </text>
    </comment>
    <comment ref="C79" authorId="3" shapeId="0">
      <text>
        <r>
          <rPr>
            <sz val="8"/>
            <color indexed="81"/>
            <rFont val="Tahoma"/>
            <family val="2"/>
          </rPr>
          <t>This value must be positive but it can be greater or less than 1.00.  The default value is 1.11 (=10/9) or its inverse 0.90 (=9/10), which represents one occurrence or event in 10 being due to something.
Note that the odds ratio as calculated is actually a hazard ratio when each control or handful of controls is sampled at the time that each case occurs (so-called incidence density sampling).  If controls are sampled at the end of the study, the odds ratio is indeed an odds ratio.  If the prevalence, incidence or proportion of cases in the population is low (&lt;10%), the odds and hazard ratios are practically identical and can be interpreted as relative risk. Note that the prevalence, incidence or proportion of cases in the population is not entered into the spreadsheet.</t>
        </r>
      </text>
    </comment>
    <comment ref="D79" authorId="3" shapeId="0">
      <text>
        <r>
          <rPr>
            <sz val="8"/>
            <color indexed="81"/>
            <rFont val="Tahoma"/>
            <family val="2"/>
          </rPr>
          <t>The default is the inverse of the smallest harmful odds ratio.</t>
        </r>
      </text>
    </comment>
    <comment ref="E79" authorId="3" shapeId="0">
      <text>
        <r>
          <rPr>
            <sz val="9"/>
            <color indexed="81"/>
            <rFont val="Tahoma"/>
            <family val="2"/>
          </rPr>
          <t>Value shown here is arbitrary.  You must use a reasonable estimate for your study. In general the population prevalence is known, not the prevalence in controls.  However, population prevalence is OK here, if the proportion of cases in the population is known to be so small that the contribution of cases to population prevalence of exposure is negligible (which will apply to rare conditions, the usual reason for choosing a case-control design).</t>
        </r>
      </text>
    </comment>
    <comment ref="F79" authorId="3" shapeId="0">
      <text>
        <r>
          <rPr>
            <sz val="8"/>
            <color indexed="81"/>
            <rFont val="Tahoma"/>
            <family val="2"/>
          </rPr>
          <t>For equal-sized samples of cases and controls, set to 50% (which gives the smallest overall sample size).  If 1 case per 3 controls, set to 25%, and so on.</t>
        </r>
      </text>
    </comment>
    <comment ref="M79" authorId="3" shapeId="0">
      <text>
        <r>
          <rPr>
            <sz val="8"/>
            <color indexed="81"/>
            <rFont val="Tahoma"/>
            <family val="2"/>
          </rPr>
          <t>The value shown is the "decision" value: values either side of this value lead to decisions to use or not to use the effect, for the sample size shown.</t>
        </r>
      </text>
    </comment>
    <comment ref="Q79" authorId="3" shapeId="0">
      <text>
        <r>
          <rPr>
            <sz val="8"/>
            <color indexed="81"/>
            <rFont val="Tahoma"/>
            <family val="2"/>
          </rPr>
          <t>Value shown is the smallest harmful value.</t>
        </r>
      </text>
    </comment>
    <comment ref="R79" authorId="3" shapeId="0">
      <text>
        <r>
          <rPr>
            <sz val="8"/>
            <color indexed="81"/>
            <rFont val="Tahoma"/>
            <family val="2"/>
          </rPr>
          <t>Value shown is the smallest beneficial value.</t>
        </r>
      </text>
    </comment>
    <comment ref="G89" authorId="3" shapeId="0">
      <text>
        <r>
          <rPr>
            <sz val="8"/>
            <color indexed="81"/>
            <rFont val="Tahoma"/>
            <family val="2"/>
          </rPr>
          <t>Rate (%) of null effect turning up statistically significant.</t>
        </r>
      </text>
    </comment>
    <comment ref="H89" authorId="3" shapeId="0">
      <text>
        <r>
          <rPr>
            <sz val="8"/>
            <color indexed="81"/>
            <rFont val="Tahoma"/>
            <family val="2"/>
          </rPr>
          <t>Rate (%) of smallest effect not turning up statistically significant.</t>
        </r>
      </text>
    </comment>
    <comment ref="B90" authorId="0" shapeId="0">
      <text>
        <r>
          <rPr>
            <sz val="8"/>
            <color indexed="81"/>
            <rFont val="Tahoma"/>
            <family val="2"/>
          </rPr>
          <t xml:space="preserve">Options for choosing the smallest important change or difference in means are...
(a) The default: 0.20 of the </t>
        </r>
        <r>
          <rPr>
            <b/>
            <sz val="8"/>
            <color indexed="81"/>
            <rFont val="Tahoma"/>
            <family val="2"/>
          </rPr>
          <t>pure</t>
        </r>
        <r>
          <rPr>
            <sz val="8"/>
            <color indexed="81"/>
            <rFont val="Tahoma"/>
            <family val="2"/>
          </rPr>
          <t xml:space="preserve"> or stable between-subject SD (Cohen's smallest important effect).  The pure between-subject SD is given by </t>
        </r>
        <r>
          <rPr>
            <sz val="8"/>
            <color indexed="81"/>
            <rFont val="Symbol"/>
            <family val="1"/>
            <charset val="2"/>
          </rPr>
          <t>Ö</t>
        </r>
        <r>
          <rPr>
            <sz val="8"/>
            <color indexed="81"/>
            <rFont val="Tahoma"/>
            <family val="2"/>
          </rPr>
          <t xml:space="preserve">(observed SD^2 - error^2) or observed SD multiplied by </t>
        </r>
        <r>
          <rPr>
            <sz val="8"/>
            <color indexed="81"/>
            <rFont val="Symbol"/>
            <family val="1"/>
            <charset val="2"/>
          </rPr>
          <t>Ö</t>
        </r>
        <r>
          <rPr>
            <sz val="8"/>
            <color indexed="81"/>
            <rFont val="Tahoma"/>
            <family val="2"/>
          </rPr>
          <t>r, where r is the retest or intraclass correlation coefficient. The error or r are for the time-frame that you consider defines "stable" (mean) subject values. So insert here 0.20*SD*</t>
        </r>
        <r>
          <rPr>
            <sz val="8"/>
            <color indexed="81"/>
            <rFont val="Symbol"/>
            <family val="1"/>
            <charset val="2"/>
          </rPr>
          <t>Ö</t>
        </r>
        <r>
          <rPr>
            <sz val="8"/>
            <color indexed="81"/>
            <rFont val="Tahoma"/>
            <family val="2"/>
          </rPr>
          <t xml:space="preserve">r.
(b) 0.2 of the </t>
        </r>
        <r>
          <rPr>
            <b/>
            <sz val="8"/>
            <color indexed="81"/>
            <rFont val="Tahoma"/>
            <family val="2"/>
          </rPr>
          <t>observed</t>
        </r>
        <r>
          <rPr>
            <sz val="8"/>
            <color indexed="81"/>
            <rFont val="Tahoma"/>
            <family val="2"/>
          </rPr>
          <t xml:space="preserve"> between-subject SD. This option applies to any right-now comparisons. Examples: a performance indicator for a team-sport athlete; some comparisons of means in cross-sectional studies.  You should still reduce the SD as in (a) above by taking into account any short-term technical error arising from the measurement technique but not from the subjects themselves.  The short-term error is often negligible, in which case the observed SD needs no correction.
(c) For solo-athlete performance, a value derived from analysis of competitions, usually 0.3 of the within-athlete competition-to-competition variability. Note that if you insert 0.3 here, then you must insert 1.0 for the typical error, and you end up with a large sample size.
(d) A value for a difference or change in a subject characteristic that  predicts a smallest important difference or change in a health outcome (morbidity or mortality).
(e) Clinical experience, but it should be evidence-based, as in (d).</t>
        </r>
      </text>
    </comment>
    <comment ref="B94" authorId="4" shapeId="0">
      <text>
        <r>
          <rPr>
            <sz val="8"/>
            <color indexed="81"/>
            <rFont val="Tahoma"/>
            <family val="2"/>
          </rPr>
          <t>This value can be positive or negative.  
The default shown is for the smallest important change to be similar in magnitude to the within-subject error.  THIS IS NOT A RATIONALE FOR CHOOSING THE SMALLEST CHANGE, It merely illustrates that you generally need much smaller sample sizes for crossovers and controlled trials than for cross-sectional and other non-experimental studies.
Options for choosing the smallest important change are:  (a) 0.20 of the between-subject SD (Cohen's smallest important effect); (b) clinical experience; and (c) for performance, a value derived from analysis of competitions.</t>
        </r>
      </text>
    </comment>
    <comment ref="D94" authorId="4" shapeId="0">
      <text>
        <r>
          <rPr>
            <sz val="8"/>
            <color indexed="81"/>
            <rFont val="Tahoma"/>
            <family val="2"/>
          </rPr>
          <t>Also known as the standard error of measurement.  Estimated from a reliability study with conditions comparable to the crossover.  If you have a retest correlation coefficient r, the typical error TE = SDobs*</t>
        </r>
        <r>
          <rPr>
            <sz val="8"/>
            <color indexed="81"/>
            <rFont val="Symbol"/>
            <family val="1"/>
            <charset val="2"/>
          </rPr>
          <t>Ö</t>
        </r>
        <r>
          <rPr>
            <sz val="8"/>
            <color indexed="81"/>
            <rFont val="Tahoma"/>
            <family val="2"/>
          </rPr>
          <t xml:space="preserve">(1-r), where SDobs is the observed between-subject standard deviation.  The typical error is also the SD of the change scores divided by root 2.
You can also estimate it from a published study using similar subjects, methods and dependent variable (and not necessarily the same kind of intervention). See cells above right.
Make sure this number is in the same units as the smallest important value.
If you are using standardization to define the smallest change,  insert a value of 0.2*SDtrue, where SDtrue = sqrt(SDobs^2 -TE^2).  (Exception: if the dependent variable is a performance indicator for team-sport athletes, use 0.2*SDobs.) Or more simply, insert 0.20 as the smallest important change, and express the typical error as </t>
        </r>
        <r>
          <rPr>
            <sz val="8"/>
            <color indexed="81"/>
            <rFont val="Symbol"/>
            <family val="1"/>
            <charset val="2"/>
          </rPr>
          <t>Ö</t>
        </r>
        <r>
          <rPr>
            <sz val="8"/>
            <color indexed="81"/>
            <rFont val="Tahoma"/>
            <family val="2"/>
          </rPr>
          <t xml:space="preserve">(1/r-1) (or </t>
        </r>
        <r>
          <rPr>
            <sz val="8"/>
            <color indexed="81"/>
            <rFont val="Symbol"/>
            <family val="1"/>
            <charset val="2"/>
          </rPr>
          <t>Ö</t>
        </r>
        <r>
          <rPr>
            <sz val="8"/>
            <color indexed="81"/>
            <rFont val="Tahoma"/>
            <family val="2"/>
          </rPr>
          <t>(1-r), for a performance indicator of team-sport athletes).</t>
        </r>
      </text>
    </comment>
    <comment ref="E94" authorId="4" shapeId="0">
      <text>
        <r>
          <rPr>
            <sz val="8"/>
            <color indexed="81"/>
            <rFont val="Tahoma"/>
            <family val="2"/>
          </rPr>
          <t>Must be</t>
        </r>
        <r>
          <rPr>
            <sz val="8"/>
            <color indexed="81"/>
            <rFont val="Symbol"/>
            <family val="1"/>
            <charset val="2"/>
          </rPr>
          <t xml:space="preserve"> ³</t>
        </r>
        <r>
          <rPr>
            <sz val="8"/>
            <color indexed="81"/>
            <rFont val="Tahoma"/>
            <family val="2"/>
          </rPr>
          <t xml:space="preserve"> within-subject SD.
When a control treatment is used as a covariate either to predict the experimental treatment or to predict the experimental-control change score, the effective error or measurement is reduced in a manner that depends on the relative magnitudes of the between- and within-subject SDs.  For between-subject SD &gt;&gt; within-subject SD, there is no reduction.  Maximum reduction occurs when between-subject SD = within-subject SD; that is, there are no real differences between subjects, or retest correlation = 0.00.</t>
        </r>
      </text>
    </comment>
    <comment ref="M94" authorId="3" shapeId="0">
      <text>
        <r>
          <rPr>
            <sz val="8"/>
            <color indexed="81"/>
            <rFont val="Tahoma"/>
            <family val="2"/>
          </rPr>
          <t>The value shown is the "critical" value: values greater than this value produce statistical significance.</t>
        </r>
      </text>
    </comment>
    <comment ref="B102" authorId="4" shapeId="0">
      <text>
        <r>
          <rPr>
            <sz val="8"/>
            <color indexed="81"/>
            <rFont val="Tahoma"/>
            <family val="2"/>
          </rPr>
          <t>This value can be positive or negative.  
The default shown is for the smallest important change to be similar in magnitude to the within-subject error.  THIS IS NOT A RATIONALE FOR CHOOSING THE SMALLEST CHANGE. It merely illustrates that you generally need much smaller sample sizes for crossovers and controlled trials than for cross-sectional and other non-experimental studies.
See "Hover cursor..." above for more information about smallest effects for means.</t>
        </r>
      </text>
    </comment>
    <comment ref="D102" authorId="4" shapeId="0">
      <text>
        <r>
          <rPr>
            <sz val="8"/>
            <color indexed="81"/>
            <rFont val="Tahoma"/>
            <family val="2"/>
          </rPr>
          <t>Also known as the standard error of measurement.  Estimated from a reliability study with conditions comparable to the crossover.  If you have a retest correlation coefficient r, the typical error TE = SDobs*</t>
        </r>
        <r>
          <rPr>
            <sz val="8"/>
            <color indexed="81"/>
            <rFont val="Symbol"/>
            <family val="1"/>
            <charset val="2"/>
          </rPr>
          <t>Ö</t>
        </r>
        <r>
          <rPr>
            <sz val="8"/>
            <color indexed="81"/>
            <rFont val="Tahoma"/>
            <family val="2"/>
          </rPr>
          <t xml:space="preserve">(1-r), where SDobs is the observed between-subject standard deviation.  The typical error is also the SD of the change scores divided by root 2.
You can also estimate it from a published study using similar subjects, methods and dependent variable (and not necessarily the same kind of intervention). See cells above right.
Make sure this number is in the same units as the smallest important value.
If you are using standardization to define the smallest change,  insert a value of 0.2*SDtrue, where SDtrue = sqrt(SDobs^2 -TE^2).  (Exception: if the dependent variable is a performance indicator for team-sport athletes, use 0.2*SDobs.) Or more simply, insert 0.20 as the smallest important change, and express the typical error as </t>
        </r>
        <r>
          <rPr>
            <sz val="8"/>
            <color indexed="81"/>
            <rFont val="Symbol"/>
            <family val="1"/>
            <charset val="2"/>
          </rPr>
          <t>Ö</t>
        </r>
        <r>
          <rPr>
            <sz val="8"/>
            <color indexed="81"/>
            <rFont val="Tahoma"/>
            <family val="2"/>
          </rPr>
          <t xml:space="preserve">(1/r-1) (or </t>
        </r>
        <r>
          <rPr>
            <sz val="8"/>
            <color indexed="81"/>
            <rFont val="Symbol"/>
            <family val="1"/>
            <charset val="2"/>
          </rPr>
          <t>Ö</t>
        </r>
        <r>
          <rPr>
            <sz val="8"/>
            <color indexed="81"/>
            <rFont val="Tahoma"/>
            <family val="2"/>
          </rPr>
          <t>(1-r), for a performance indicator of team-sport athletes).</t>
        </r>
      </text>
    </comment>
    <comment ref="E102" authorId="4" shapeId="0">
      <text>
        <r>
          <rPr>
            <sz val="8"/>
            <color indexed="81"/>
            <rFont val="Tahoma"/>
            <family val="2"/>
          </rPr>
          <t>Must be</t>
        </r>
        <r>
          <rPr>
            <sz val="8"/>
            <color indexed="81"/>
            <rFont val="Symbol"/>
            <family val="1"/>
            <charset val="2"/>
          </rPr>
          <t xml:space="preserve"> ³</t>
        </r>
        <r>
          <rPr>
            <sz val="8"/>
            <color indexed="81"/>
            <rFont val="Tahoma"/>
            <family val="2"/>
          </rPr>
          <t xml:space="preserve"> within-subject SD.
When the pre-test is used as a covariate either to predict the post-test or to predict the post-pre change score, the effective error of measurement is reduced in a manner that depends on the relative magnitudes of the between- and within-subject SDs.  For between-subject SD &gt;&gt; within-subject SD, there is no reduction.  Maximum reduction occurs when between-subject SD = within-subject SD; that is, there are no real differences between subjects, or retest correlation = 0.00.</t>
        </r>
      </text>
    </comment>
    <comment ref="F102" authorId="3" shapeId="0">
      <text>
        <r>
          <rPr>
            <sz val="8"/>
            <color indexed="81"/>
            <rFont val="Tahoma"/>
            <family val="2"/>
          </rPr>
          <t>Usually 50%.</t>
        </r>
      </text>
    </comment>
    <comment ref="M102" authorId="3" shapeId="0">
      <text>
        <r>
          <rPr>
            <sz val="8"/>
            <color indexed="81"/>
            <rFont val="Tahoma"/>
            <family val="2"/>
          </rPr>
          <t>The value shown is the "critical" value: values greater than this value produce statistical significance.</t>
        </r>
      </text>
    </comment>
    <comment ref="C110" authorId="4" shapeId="0">
      <text>
        <r>
          <rPr>
            <sz val="8"/>
            <color indexed="81"/>
            <rFont val="Tahoma"/>
            <family val="2"/>
          </rPr>
          <t>This value can be positive or negative.  
The default value of 0.20 is for a study in which the smallest important difference is Cohen's standardized value of 0.20 of the between-subject standard deviation. The between-subject SD is therefore set to 1.0.  But see "Hover cursor..." above for more information.</t>
        </r>
      </text>
    </comment>
    <comment ref="E110" authorId="3" shapeId="0">
      <text>
        <r>
          <rPr>
            <sz val="8"/>
            <color indexed="81"/>
            <rFont val="Tahoma"/>
            <family val="2"/>
          </rPr>
          <t xml:space="preserve">Insert here a value for the observed (not pure or true) SD. The default of 1.00 is appropriate if you are using a smallest standardized (Cohen) effect of 0.20.
Otherwise make sure this number is in the same units as the smallest important values.
</t>
        </r>
      </text>
    </comment>
    <comment ref="F110" authorId="3" shapeId="0">
      <text>
        <r>
          <rPr>
            <sz val="8"/>
            <color indexed="81"/>
            <rFont val="Tahoma"/>
            <family val="2"/>
          </rPr>
          <t>Usually 50%.</t>
        </r>
      </text>
    </comment>
    <comment ref="M110" authorId="3" shapeId="0">
      <text>
        <r>
          <rPr>
            <sz val="8"/>
            <color indexed="81"/>
            <rFont val="Tahoma"/>
            <family val="2"/>
          </rPr>
          <t>The value shown is the "critical" value: values greater than this value produce statistical significance.</t>
        </r>
      </text>
    </comment>
    <comment ref="C118" authorId="3" shapeId="0">
      <text>
        <r>
          <rPr>
            <sz val="8"/>
            <color indexed="81"/>
            <rFont val="Tahoma"/>
            <family val="2"/>
          </rPr>
          <t>This value can be positive or negative.
The default value is 0.10, which is the smallest important correlation, according to Cohen.</t>
        </r>
      </text>
    </comment>
    <comment ref="M118" authorId="3" shapeId="0">
      <text>
        <r>
          <rPr>
            <sz val="8"/>
            <color indexed="81"/>
            <rFont val="Tahoma"/>
            <family val="2"/>
          </rPr>
          <t>The value shown is the "critical" value: values greater than this value produce statistical significance.</t>
        </r>
      </text>
    </comment>
    <comment ref="E130" authorId="3" shapeId="0">
      <text>
        <r>
          <rPr>
            <sz val="9"/>
            <color indexed="81"/>
            <rFont val="Tahoma"/>
            <family val="2"/>
          </rPr>
          <t xml:space="preserve">Value shown is sqrt(mean count), which is the expected observed between-subject SD when there are no real differences between the subjects. If you have an observed SD (which will usually be larger than the expected SD, if there is "overdispersion" arising from real differences between subjects), insert it in the blank cell below. 
</t>
        </r>
      </text>
    </comment>
    <comment ref="F130" authorId="3" shapeId="0">
      <text>
        <r>
          <rPr>
            <sz val="9"/>
            <color indexed="81"/>
            <rFont val="Tahoma"/>
            <family val="2"/>
          </rPr>
          <t>Usually 50% for group comparison studies and controlled trial.
For cohort studies, you must supply the appropriate proportion for your study.</t>
        </r>
      </text>
    </comment>
    <comment ref="M131" authorId="3" shapeId="0">
      <text>
        <r>
          <rPr>
            <sz val="8"/>
            <color indexed="81"/>
            <rFont val="Tahoma"/>
            <family val="2"/>
          </rPr>
          <t>The value shown is the "critical" value: values greater than this value produce statistical significance.</t>
        </r>
      </text>
    </comment>
    <comment ref="C132" authorId="3" shapeId="0">
      <text>
        <r>
          <rPr>
            <sz val="8"/>
            <color indexed="81"/>
            <rFont val="Tahoma"/>
            <family val="2"/>
          </rPr>
          <t>This value must be positive but it can be greater or less than 1.00.  
The default smallest important value is 1.11 (=10/9) or its inverse 0.90 (=9/10), which represents one count in 10 being due to something.</t>
        </r>
      </text>
    </comment>
    <comment ref="E133" authorId="0" shapeId="0">
      <text>
        <r>
          <rPr>
            <sz val="8"/>
            <color indexed="81"/>
            <rFont val="Tahoma"/>
            <family val="2"/>
          </rPr>
          <t>Insert a value for the observed between-subject SD, if available. Otherwise leave blank.</t>
        </r>
      </text>
    </comment>
    <comment ref="E139" authorId="3" shapeId="0">
      <text>
        <r>
          <rPr>
            <sz val="9"/>
            <color indexed="81"/>
            <rFont val="Tahoma"/>
            <family val="2"/>
          </rPr>
          <t>Value shown here is arbitrary.  You must use a reasonable estimate for your study.</t>
        </r>
      </text>
    </comment>
    <comment ref="H139" authorId="3" shapeId="0">
      <text>
        <r>
          <rPr>
            <sz val="9"/>
            <color indexed="81"/>
            <rFont val="Tahoma"/>
            <family val="2"/>
          </rPr>
          <t xml:space="preserve">The smallest effect is shown here as an odds ratio and used to calculate sample size.
</t>
        </r>
      </text>
    </comment>
    <comment ref="C140" authorId="3" shapeId="0">
      <text>
        <r>
          <rPr>
            <sz val="9"/>
            <color indexed="81"/>
            <rFont val="Tahoma"/>
            <family val="2"/>
          </rPr>
          <t>The default smallest important RR and HR is 1.11 (=10/9) or its inverse 0.90 (=9/10), which represents one occurrence or event in 10 being due to something.
For rare events (incidence or prevalence &lt;10%), the default smallest effect for an OR is the same as for RR and HR, because they are all effectively the same.
A smallest risk difference of 10% applies to wins/losses in match-play sports: 10% is equivalent to one extra game won or lost per 10 games.</t>
        </r>
      </text>
    </comment>
    <comment ref="F140" authorId="3" shapeId="0">
      <text>
        <r>
          <rPr>
            <sz val="9"/>
            <color indexed="81"/>
            <rFont val="Tahoma"/>
            <family val="2"/>
          </rPr>
          <t>Usually 50% for group comparison studies and controlled trials.
For cohort studies, you must supply the appropriate prevalence for your study.</t>
        </r>
      </text>
    </comment>
    <comment ref="I140" authorId="3" shapeId="0">
      <text>
        <r>
          <rPr>
            <sz val="9"/>
            <color indexed="81"/>
            <rFont val="Tahoma"/>
            <family val="2"/>
          </rPr>
          <t>Do not modify this cell.</t>
        </r>
      </text>
    </comment>
    <comment ref="M142" authorId="3" shapeId="0">
      <text>
        <r>
          <rPr>
            <sz val="8"/>
            <color indexed="81"/>
            <rFont val="Tahoma"/>
            <family val="2"/>
          </rPr>
          <t>The value shown is the "critical" value: values greater than this value produce statistical significance.</t>
        </r>
      </text>
    </comment>
    <comment ref="C150" authorId="3" shapeId="0">
      <text>
        <r>
          <rPr>
            <sz val="8"/>
            <color indexed="81"/>
            <rFont val="Tahoma"/>
            <family val="2"/>
          </rPr>
          <t>This value must be positive but it can be greater or less than 1.00.  The default value is 1.11 (=10/9) or its inverse 0.90 (=9/10), which represents one occurrence or event in 10 being due to something.
Note that the odds ratio as calculated is actually a hazard ratio when each control or handful of controls is sampled at the time that each case occurs (so-called incidence density sampling).  If controls are sampled at the end of the study, the odds ratio is indeed an odds ratio.  If the prevalence, incidence or proportion of cases in the population is low (&lt;10%), the odds and hazard ratios are practically identical and can be interpreted as relative risk. Note that the prevalence, incidence or proportion of cases in the population is not entered into the spreadsheet.</t>
        </r>
      </text>
    </comment>
    <comment ref="E150" authorId="3" shapeId="0">
      <text>
        <r>
          <rPr>
            <sz val="9"/>
            <color indexed="81"/>
            <rFont val="Tahoma"/>
            <family val="2"/>
          </rPr>
          <t>Value shown here is arbitrary.  You must use a reasonable estimate for your study. In general the population prevalence is known, not the prevalence in controls.  However, population prevalence is OK here, if the proportion of cases in the population is known to be so small that the contribution of cases to population prevalence of exposure is negligible (which will apply to rare conditions, the usual reason for choosing a case-control design).</t>
        </r>
      </text>
    </comment>
    <comment ref="F150" authorId="3" shapeId="0">
      <text>
        <r>
          <rPr>
            <sz val="8"/>
            <color indexed="81"/>
            <rFont val="Tahoma"/>
            <family val="2"/>
          </rPr>
          <t>For equal-sized samples of cases and controls, set to 50%.  If 1 case per 3 controls, set to 25%, and so on.</t>
        </r>
      </text>
    </comment>
    <comment ref="M150" authorId="3" shapeId="0">
      <text>
        <r>
          <rPr>
            <sz val="8"/>
            <color indexed="81"/>
            <rFont val="Tahoma"/>
            <family val="2"/>
          </rPr>
          <t>The value shown is the "critical" value: values greater than this value produce statistical significance.</t>
        </r>
      </text>
    </comment>
  </commentList>
</comments>
</file>

<file path=xl/sharedStrings.xml><?xml version="1.0" encoding="utf-8"?>
<sst xmlns="http://schemas.openxmlformats.org/spreadsheetml/2006/main" count="397" uniqueCount="145">
  <si>
    <t>Smallest harmful change</t>
  </si>
  <si>
    <t>Smallest beneficial change</t>
  </si>
  <si>
    <t>Within-subject SD (typical error)</t>
  </si>
  <si>
    <t>Error-variance factor</t>
  </si>
  <si>
    <t>Choose a harmful value</t>
  </si>
  <si>
    <t>Choose a beneficial value</t>
  </si>
  <si>
    <t>Sample size</t>
  </si>
  <si>
    <t>Type 1</t>
  </si>
  <si>
    <t>Type 2</t>
  </si>
  <si>
    <t>lower</t>
  </si>
  <si>
    <t>upper</t>
  </si>
  <si>
    <t>"±"</t>
  </si>
  <si>
    <t xml:space="preserve">harmful </t>
  </si>
  <si>
    <t xml:space="preserve">beneficial </t>
  </si>
  <si>
    <t>Iterations</t>
  </si>
  <si>
    <t>Proportion in experimental group (%)</t>
  </si>
  <si>
    <t>Total</t>
  </si>
  <si>
    <t>Exptal</t>
  </si>
  <si>
    <t>Control</t>
  </si>
  <si>
    <t>Smallest harmful difference</t>
  </si>
  <si>
    <t>Smallest beneficial difference</t>
  </si>
  <si>
    <t>Between-subject SD</t>
  </si>
  <si>
    <t>Proportion in Group A (%)</t>
  </si>
  <si>
    <t>Correlation in a cross-sectional study</t>
  </si>
  <si>
    <t>Smallest harmful correlation</t>
  </si>
  <si>
    <t>Smallest beneficial correlation</t>
  </si>
  <si>
    <t>Cohort or Total</t>
  </si>
  <si>
    <t>Smallest harmful odds ratio</t>
  </si>
  <si>
    <t>Smallest beneficial odds ratio</t>
  </si>
  <si>
    <t>Prevalence of exposure in controls (%)</t>
  </si>
  <si>
    <t>Proportion of cases in study (%)</t>
  </si>
  <si>
    <t>Cases</t>
  </si>
  <si>
    <t>Controls</t>
  </si>
  <si>
    <t>Smallest change</t>
  </si>
  <si>
    <t>Maximum rates of statistical errors (%)</t>
  </si>
  <si>
    <t>Smallest correlation</t>
  </si>
  <si>
    <t>Smallest odds ratio</t>
  </si>
  <si>
    <t>Outcomes in a subsequent study</t>
  </si>
  <si>
    <t>Maximum chances (%) of clinical errors</t>
  </si>
  <si>
    <t>Chances the true effect is:</t>
  </si>
  <si>
    <t>Choose an observed change</t>
  </si>
  <si>
    <t>Choose an observed difference</t>
  </si>
  <si>
    <t>Choose an observed correlation</t>
  </si>
  <si>
    <t>Choose an observed odds ratio</t>
  </si>
  <si>
    <t>Type I</t>
  </si>
  <si>
    <t>Type II</t>
  </si>
  <si>
    <t>"±" approx</t>
  </si>
  <si>
    <t>&gt;Type 2 chance of benefit</t>
  </si>
  <si>
    <t>&lt;Type 1 chance of harm</t>
  </si>
  <si>
    <t>Chances of observing these outcomes if true effect is null</t>
  </si>
  <si>
    <t>Sample Size for
Statistical Significance</t>
  </si>
  <si>
    <r>
      <t xml:space="preserve"> "</t>
    </r>
    <r>
      <rPr>
        <sz val="10"/>
        <rFont val="Symbol"/>
        <family val="1"/>
        <charset val="2"/>
      </rPr>
      <t>´¤¸</t>
    </r>
    <r>
      <rPr>
        <sz val="10"/>
        <rFont val="Arial"/>
        <family val="2"/>
      </rPr>
      <t xml:space="preserve">" </t>
    </r>
  </si>
  <si>
    <t>Smallest beneficial ratio</t>
  </si>
  <si>
    <t>Smallest  count ratio</t>
  </si>
  <si>
    <t>HR</t>
  </si>
  <si>
    <t>OR</t>
  </si>
  <si>
    <t>RR</t>
  </si>
  <si>
    <t>Smallest harmful effect</t>
  </si>
  <si>
    <t>Smallest beneficial effect</t>
  </si>
  <si>
    <t>Group</t>
  </si>
  <si>
    <t>A/exptal</t>
  </si>
  <si>
    <t>B/control</t>
  </si>
  <si>
    <t>Prevalence of exposure, or proportion in A/experimental group (%)</t>
  </si>
  <si>
    <t>Odds ratio in a case-control study</t>
  </si>
  <si>
    <t>Choose an observed odds ratio.</t>
  </si>
  <si>
    <t>Choose a harmful odds ratio</t>
  </si>
  <si>
    <t>Choose a beneficial odds ratio</t>
  </si>
  <si>
    <t>Effects as OR</t>
  </si>
  <si>
    <t>Beneficial</t>
  </si>
  <si>
    <t>Harmful</t>
  </si>
  <si>
    <t>Smallest effect</t>
  </si>
  <si>
    <t>Mean count in unexposed,  B or control group</t>
  </si>
  <si>
    <t>Difference in changes in means in a pre-post parallel-groups controlled trial</t>
  </si>
  <si>
    <t>Change in mean in a post-only crossover</t>
  </si>
  <si>
    <t>Proportion in A or experimental group (%)</t>
  </si>
  <si>
    <t>Smallest  harmful ratio</t>
  </si>
  <si>
    <t>Difference in means in a group comparison or post-only parallel-groups controlled trial</t>
  </si>
  <si>
    <t>Count ratio in a prospective cohort study, group comparison, or post-only parallel-groups controlled trial</t>
  </si>
  <si>
    <t>Effect as OR</t>
  </si>
  <si>
    <t>Between-subject SD of count in unexposed,  B or control group</t>
  </si>
  <si>
    <t>Sample sizes are only approximate for mean count&lt;10.</t>
  </si>
  <si>
    <t>Observed change</t>
  </si>
  <si>
    <r>
      <t>Risk or proportion ratio (RR), hazard ratio (HR), odds ratio (OR), or risk difference (</t>
    </r>
    <r>
      <rPr>
        <b/>
        <sz val="10"/>
        <rFont val="Symbol"/>
        <family val="1"/>
        <charset val="2"/>
      </rPr>
      <t>D</t>
    </r>
    <r>
      <rPr>
        <b/>
        <sz val="10"/>
        <rFont val="Arial"/>
        <family val="2"/>
      </rPr>
      <t>Risk) in a prospective cohort study, group comparison, or post-only parallel-groups controlled trial</t>
    </r>
  </si>
  <si>
    <t>pre-2012</t>
  </si>
  <si>
    <t>Hover for updates:</t>
  </si>
  <si>
    <t>Deg. of freedom</t>
  </si>
  <si>
    <t>Standard error</t>
  </si>
  <si>
    <t>Within-subject SD</t>
  </si>
  <si>
    <t>Group1</t>
  </si>
  <si>
    <t>Group2</t>
  </si>
  <si>
    <t>P value</t>
  </si>
  <si>
    <t>Lower CL</t>
  </si>
  <si>
    <t>Upper CL</t>
  </si>
  <si>
    <t>or "±"</t>
  </si>
  <si>
    <t>Insert values from a published study in this row:</t>
  </si>
  <si>
    <t>Odds ratio</t>
  </si>
  <si>
    <t>benefit/harm</t>
  </si>
  <si>
    <t>Choose a value for the true effect:</t>
  </si>
  <si>
    <t>possibly</t>
  </si>
  <si>
    <t>likely</t>
  </si>
  <si>
    <t>very likely</t>
  </si>
  <si>
    <t>most likely</t>
  </si>
  <si>
    <t>Prevalence of exposure, or proportion in A or experimental group (%)</t>
  </si>
  <si>
    <t>Proportion (incidence or prevalence) of event  in unexposed, B or control group (%)</t>
  </si>
  <si>
    <t>Hover cursor for smallest mean effects</t>
  </si>
  <si>
    <t>Smallest  change</t>
  </si>
  <si>
    <t>Smallest  difference</t>
  </si>
  <si>
    <t>Choose an observed count difference</t>
  </si>
  <si>
    <t>Choose a harmful difference</t>
  </si>
  <si>
    <t>Choose a beneficial difference</t>
  </si>
  <si>
    <t>For a crossover, keep E62 blank and keep F63=50; required sample size is then the total shown. (Ignore the Group sizes.)</t>
  </si>
  <si>
    <t>For a crossover, keep E133 blank and keep F134=50; required sample size is then the total shown. (Ignore the Group sizes.)</t>
  </si>
  <si>
    <r>
      <t>D</t>
    </r>
    <r>
      <rPr>
        <sz val="8"/>
        <rFont val="Arial"/>
        <family val="2"/>
      </rPr>
      <t>Risk (%)</t>
    </r>
  </si>
  <si>
    <t>(expressed as odds ratio)</t>
  </si>
  <si>
    <t>Outcomes (expressed as count difference) in a subsequent study.</t>
  </si>
  <si>
    <t>You would analyze the outcome as a ratio using Poisson regression.</t>
  </si>
  <si>
    <t>For a pre-post controlled trial, keep E62 blank and set F63 to the desired proportion; required group and total sample sizes are then 4x the numbers shown.</t>
  </si>
  <si>
    <t>For a pre-post controlled trial, keep E133 blank and set F134 to the desired proportion; required group and total sample sizes are then 4x the numbers shown.</t>
  </si>
  <si>
    <t>Change or difference in change</t>
  </si>
  <si>
    <t>Between-
subject SD</t>
  </si>
  <si>
    <t>Hover cursor for reference:</t>
  </si>
  <si>
    <t>For pre-post crossovers, read this comment.</t>
  </si>
  <si>
    <t>Maximum chances (%) of (non-)clinical errors</t>
  </si>
  <si>
    <t>USING A PUBLISHED CROSSOVER OR CONTROLLED TRIAL TO ESTIMATE THE WITHIN-SUBJECT SD
If your study is a crossover or pre-post controlled trial, you can estimate the within-subject SD (typical error) needed for sample-size estimation from the outcome in a published study that used subjects, methods and dependent variable similar to those that you intend to use.  The published study needn't have the same kind of intervention, but it should have a similar time between the two measurements so you can be reasonably confident the published measure has reliability similar to that of your measure. 
Try to find several studies for this approach, because you will find the typical errors sometimes vary widely, and you will have to figure out why and choose a reasonable value. Either study can be a crossover or controlled trial (e.g., published is a crossover, but you are doing a controlled trial). The published study will have to provide the effect as a difference in means (change in a crossover or difference in the change in a controlled trial) with an exact p value or compatibility limits. If p&lt;0.05 or whatever, use p=0.05 or whatever, but if p&gt;0.05, you can't use this approach. Bonferroni or other adjusted p values overestimate the error and resulting sample size.
The standard errors can be used in a meta-analysis of interventions. If the within-subject SDs vary widely, it may be better to derive SEs via chosen realistic values of the within-subject SD.</t>
  </si>
  <si>
    <t>P value or compatibility limits</t>
  </si>
  <si>
    <t>% comp. limits</t>
  </si>
  <si>
    <t>The smallest change, difference, correlation, or ratio is the smallest value of the effect statistic that has a substantial effect on the health, wealth, performance or biological function of your subjects. For mechanistic or other non-clinical effects, regard "harmful" as "substantially negative" and "beneficial" as "substantially positive", or vice versa.</t>
  </si>
  <si>
    <t>Sample-size Estimation for Magnitude-Based Decisions</t>
  </si>
  <si>
    <t>Sample Size for
Magnitude-Based Decisions</t>
  </si>
  <si>
    <r>
      <rPr>
        <b/>
        <sz val="10"/>
        <rFont val="Arial"/>
        <family val="2"/>
      </rPr>
      <t>Sample size via statistical significance</t>
    </r>
    <r>
      <rPr>
        <sz val="10"/>
        <rFont val="Arial"/>
        <family val="2"/>
      </rPr>
      <t xml:space="preserve"> appears further down on this sheet.</t>
    </r>
  </si>
  <si>
    <r>
      <rPr>
        <b/>
        <sz val="10"/>
        <rFont val="Arial"/>
        <family val="2"/>
      </rPr>
      <t>Read the article</t>
    </r>
    <r>
      <rPr>
        <sz val="10"/>
        <rFont val="Arial"/>
        <family val="2"/>
      </rPr>
      <t xml:space="preserve"> for estimation of sample sizes for other effects.</t>
    </r>
  </si>
  <si>
    <t>The method is based on keeping chances of what I call clinical Type-1 and Type-2 errors acceptably low.</t>
  </si>
  <si>
    <t>A Type 1 clinical error occurs when, on the basis of your study, you decide to use an effect that is actually harmful.  
A Type 2 clinical error occurs when, on the basis of your study, you decide not to use an effect  that is actually beneficial.</t>
  </si>
  <si>
    <t>I have set the default chances to Type 1 = 0.5% and Type 2 = 25%.  This kind of disparity reflects the priniciple that it is more important to avoid using a harmful effect than to miss out on using a beneficial effect. The same principle underlies significance testing. For adequate precision for an effect that doesn't have benefit or harm (e.g., a comparison of females and males), set Type 1 and Type 2 to 5%.</t>
  </si>
  <si>
    <t>Ignore the grey cells on the far right, including the error-variance factor, which is used to calculate the sample size and other stats.</t>
  </si>
  <si>
    <r>
      <t xml:space="preserve">You may change cells with numbers in </t>
    </r>
    <r>
      <rPr>
        <b/>
        <sz val="10"/>
        <color rgb="FF0000FF"/>
        <rFont val="Arial"/>
        <family val="2"/>
      </rPr>
      <t>blue</t>
    </r>
    <r>
      <rPr>
        <sz val="10"/>
        <rFont val="Arial"/>
        <family val="2"/>
      </rPr>
      <t xml:space="preserve">. Sample size and other useful stats are in </t>
    </r>
    <r>
      <rPr>
        <b/>
        <sz val="10"/>
        <color rgb="FFFF0000"/>
        <rFont val="Arial"/>
        <family val="2"/>
      </rPr>
      <t>red</t>
    </r>
    <r>
      <rPr>
        <sz val="10"/>
        <rFont val="Arial"/>
        <family val="2"/>
      </rPr>
      <t xml:space="preserve"> and </t>
    </r>
    <r>
      <rPr>
        <b/>
        <sz val="10"/>
        <color rgb="FF993366"/>
        <rFont val="Arial"/>
        <family val="2"/>
      </rPr>
      <t>plum</t>
    </r>
    <r>
      <rPr>
        <sz val="10"/>
        <rFont val="Arial"/>
        <family val="2"/>
      </rPr>
      <t>.  Do not change the cells in red.  You may change cells in plum to see the effect on compatibility limits and chances, but remember to "Ctrl-z" or otherwise undo to restore the formulae in these cells.</t>
    </r>
  </si>
  <si>
    <t>Chances (%) of getting a clear effect with the following probabilities of beneficial or substantial</t>
  </si>
  <si>
    <t>This spreadsheet provides estimates of sample size for effects in common designs.</t>
  </si>
  <si>
    <r>
      <t xml:space="preserve">Hover cursor for smallest </t>
    </r>
    <r>
      <rPr>
        <b/>
        <sz val="12"/>
        <color rgb="FFFF0000"/>
        <rFont val="Arial"/>
        <family val="2"/>
      </rPr>
      <t>mean</t>
    </r>
    <r>
      <rPr>
        <sz val="12"/>
        <color rgb="FFFF0000"/>
        <rFont val="Arial"/>
        <family val="2"/>
      </rPr>
      <t xml:space="preserve"> effects</t>
    </r>
  </si>
  <si>
    <t>Observed between-
subject SD</t>
  </si>
  <si>
    <t>Observed between-subject SD</t>
  </si>
  <si>
    <t>Compatibility level (%)</t>
  </si>
  <si>
    <t>Sample sizes &lt;10 are only approximate.  In any case, avoid such small sample sizes.</t>
  </si>
  <si>
    <r>
      <t xml:space="preserve">The larger the true effect, the smaller the sample size for a clear outcome.  To estimate the </t>
    </r>
    <r>
      <rPr>
        <b/>
        <sz val="10"/>
        <rFont val="Arial"/>
        <family val="2"/>
      </rPr>
      <t>sample size for a suspected true effect</t>
    </r>
    <r>
      <rPr>
        <sz val="10"/>
        <rFont val="Arial"/>
        <family val="2"/>
      </rPr>
      <t xml:space="preserve">, replace the </t>
    </r>
    <r>
      <rPr>
        <b/>
        <sz val="10"/>
        <color indexed="61"/>
        <rFont val="Arial"/>
        <family val="2"/>
      </rPr>
      <t>plum-colored</t>
    </r>
    <r>
      <rPr>
        <sz val="10"/>
        <rFont val="Arial"/>
        <family val="2"/>
      </rPr>
      <t xml:space="preserve"> smallest beneficial effect with the suspected true effect (which must have the same sign and greater magnitude than the smallest beneficial effect). If you have a </t>
    </r>
    <r>
      <rPr>
        <b/>
        <sz val="10"/>
        <rFont val="Arial"/>
        <family val="2"/>
      </rPr>
      <t>fixed sample size</t>
    </r>
    <r>
      <rPr>
        <sz val="10"/>
        <rFont val="Arial"/>
        <family val="2"/>
      </rPr>
      <t xml:space="preserve">, try different values of smallest beneficial effect.  The value that gives your sample size is the smallest true magnitude of the effect you can expect to quantify confidently. For </t>
    </r>
    <r>
      <rPr>
        <b/>
        <sz val="10"/>
        <rFont val="Arial"/>
        <family val="2"/>
      </rPr>
      <t>sample size on the fly</t>
    </r>
    <r>
      <rPr>
        <sz val="10"/>
        <rFont val="Arial"/>
        <family val="2"/>
      </rPr>
      <t>, replace the smallest beneficial effect with the effect you get with your first cohort to get the total required sample size.</t>
    </r>
  </si>
  <si>
    <r>
      <t xml:space="preserve">Hover cursor for </t>
    </r>
    <r>
      <rPr>
        <b/>
        <sz val="10"/>
        <rFont val="Arial"/>
        <family val="2"/>
      </rPr>
      <t>superiority (minimum-effects) testing</t>
    </r>
    <r>
      <rPr>
        <sz val="10"/>
        <rFont val="Arial"/>
        <family val="2"/>
      </rPr>
      <t xml:space="preserve"> and </t>
    </r>
    <r>
      <rPr>
        <b/>
        <sz val="10"/>
        <rFont val="Arial"/>
        <family val="2"/>
      </rPr>
      <t>equivalence testing</t>
    </r>
    <r>
      <rPr>
        <sz val="10"/>
        <rFont val="Arial"/>
        <family val="2"/>
      </rPr>
      <t>, or see the article accompanying this spreadsheet.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</si>
</sst>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0000"/>
  </numFmts>
  <fonts count="38" x14ac:knownFonts="1">
    <font>
      <sz val="10"/>
      <name val="Arial"/>
    </font>
    <font>
      <sz val="10"/>
      <name val="Arial"/>
      <family val="2"/>
    </font>
    <font>
      <b/>
      <sz val="10"/>
      <name val="Arial"/>
      <family val="2"/>
    </font>
    <font>
      <b/>
      <sz val="10"/>
      <color indexed="10"/>
      <name val="Arial"/>
      <family val="2"/>
    </font>
    <font>
      <b/>
      <sz val="10"/>
      <color indexed="61"/>
      <name val="Arial"/>
      <family val="2"/>
    </font>
    <font>
      <sz val="10"/>
      <color indexed="10"/>
      <name val="Arial"/>
      <family val="2"/>
    </font>
    <font>
      <sz val="9"/>
      <color indexed="10"/>
      <name val="Arial"/>
      <family val="2"/>
    </font>
    <font>
      <sz val="8"/>
      <name val="Arial"/>
      <family val="2"/>
    </font>
    <font>
      <sz val="8"/>
      <color indexed="23"/>
      <name val="Arial"/>
      <family val="2"/>
    </font>
    <font>
      <b/>
      <sz val="10"/>
      <color indexed="12"/>
      <name val="Arial"/>
      <family val="2"/>
    </font>
    <font>
      <sz val="10"/>
      <color indexed="23"/>
      <name val="Arial"/>
      <family val="2"/>
    </font>
    <font>
      <sz val="10"/>
      <color indexed="12"/>
      <name val="Arial"/>
      <family val="2"/>
    </font>
    <font>
      <sz val="8"/>
      <color indexed="10"/>
      <name val="Arial"/>
      <family val="2"/>
    </font>
    <font>
      <sz val="9"/>
      <name val="Arial"/>
      <family val="2"/>
    </font>
    <font>
      <sz val="8"/>
      <color indexed="81"/>
      <name val="Tahoma"/>
      <family val="2"/>
    </font>
    <font>
      <sz val="8"/>
      <name val="Arial"/>
      <family val="2"/>
    </font>
    <font>
      <sz val="9"/>
      <color indexed="81"/>
      <name val="Tahoma"/>
      <family val="2"/>
    </font>
    <font>
      <b/>
      <sz val="12"/>
      <name val="Arial"/>
      <family val="2"/>
    </font>
    <font>
      <sz val="9"/>
      <color indexed="8"/>
      <name val="Arial"/>
      <family val="2"/>
    </font>
    <font>
      <sz val="7"/>
      <color indexed="10"/>
      <name val="Arial"/>
      <family val="2"/>
    </font>
    <font>
      <sz val="9"/>
      <color indexed="23"/>
      <name val="Arial"/>
      <family val="2"/>
    </font>
    <font>
      <sz val="10"/>
      <name val="Symbol"/>
      <family val="1"/>
      <charset val="2"/>
    </font>
    <font>
      <b/>
      <sz val="10"/>
      <name val="Symbol"/>
      <family val="1"/>
      <charset val="2"/>
    </font>
    <font>
      <b/>
      <sz val="8"/>
      <color indexed="81"/>
      <name val="Tahoma"/>
      <family val="2"/>
    </font>
    <font>
      <b/>
      <sz val="10"/>
      <color rgb="FF0000FF"/>
      <name val="Arial"/>
      <family val="2"/>
    </font>
    <font>
      <b/>
      <sz val="10"/>
      <color rgb="FFC00000"/>
      <name val="Arial"/>
      <family val="2"/>
    </font>
    <font>
      <sz val="11"/>
      <name val="Arial"/>
      <family val="2"/>
    </font>
    <font>
      <sz val="10"/>
      <color rgb="FF0000FF"/>
      <name val="Arial"/>
      <family val="2"/>
    </font>
    <font>
      <sz val="10"/>
      <color rgb="FFFF0000"/>
      <name val="Arial"/>
      <family val="2"/>
    </font>
    <font>
      <sz val="10"/>
      <color rgb="FFC00000"/>
      <name val="Arial"/>
      <family val="2"/>
    </font>
    <font>
      <sz val="8"/>
      <color indexed="81"/>
      <name val="Symbol"/>
      <family val="1"/>
      <charset val="2"/>
    </font>
    <font>
      <sz val="12"/>
      <name val="Arial"/>
      <family val="2"/>
    </font>
    <font>
      <b/>
      <sz val="9"/>
      <color indexed="81"/>
      <name val="Tahoma"/>
      <family val="2"/>
    </font>
    <font>
      <b/>
      <sz val="10"/>
      <color rgb="FF993366"/>
      <name val="Arial"/>
      <family val="2"/>
    </font>
    <font>
      <b/>
      <sz val="10"/>
      <color rgb="FFFF0000"/>
      <name val="Arial"/>
      <family val="2"/>
    </font>
    <font>
      <b/>
      <sz val="11"/>
      <name val="Arial"/>
      <family val="2"/>
    </font>
    <font>
      <sz val="12"/>
      <color rgb="FFFF0000"/>
      <name val="Arial"/>
      <family val="2"/>
    </font>
    <font>
      <b/>
      <sz val="12"/>
      <color rgb="FFFF0000"/>
      <name val="Arial"/>
      <family val="2"/>
    </font>
  </fonts>
  <fills count="15">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46"/>
        <bgColor indexed="64"/>
      </patternFill>
    </fill>
    <fill>
      <patternFill patternType="solid">
        <fgColor indexed="50"/>
        <bgColor indexed="64"/>
      </patternFill>
    </fill>
    <fill>
      <patternFill patternType="solid">
        <fgColor theme="0" tint="-0.14999847407452621"/>
        <bgColor indexed="64"/>
      </patternFill>
    </fill>
    <fill>
      <patternFill patternType="solid">
        <fgColor theme="0"/>
        <bgColor indexed="64"/>
      </patternFill>
    </fill>
    <fill>
      <patternFill patternType="solid">
        <fgColor rgb="FFFFCC99"/>
        <bgColor indexed="64"/>
      </patternFill>
    </fill>
    <fill>
      <patternFill patternType="solid">
        <fgColor rgb="FFFFE0C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94">
    <xf numFmtId="0" fontId="0" fillId="0" borderId="0" xfId="0"/>
    <xf numFmtId="0" fontId="1" fillId="2" borderId="0" xfId="0" applyFont="1" applyFill="1" applyBorder="1"/>
    <xf numFmtId="0" fontId="1" fillId="2" borderId="0" xfId="0" applyFont="1" applyFill="1" applyBorder="1" applyAlignment="1">
      <alignment horizontal="center"/>
    </xf>
    <xf numFmtId="0" fontId="1" fillId="2" borderId="0" xfId="0" applyFont="1" applyFill="1"/>
    <xf numFmtId="0" fontId="1" fillId="0" borderId="0" xfId="0" applyFont="1" applyAlignment="1">
      <alignment vertical="center"/>
    </xf>
    <xf numFmtId="0" fontId="1" fillId="0" borderId="0" xfId="0" applyFont="1" applyBorder="1" applyAlignment="1">
      <alignment vertical="center"/>
    </xf>
    <xf numFmtId="0" fontId="1" fillId="0" borderId="0" xfId="0" applyFont="1" applyFill="1" applyBorder="1" applyAlignment="1">
      <alignment vertical="center"/>
    </xf>
    <xf numFmtId="0" fontId="1" fillId="0" borderId="0" xfId="0" applyFont="1" applyBorder="1"/>
    <xf numFmtId="0" fontId="1" fillId="0" borderId="0" xfId="0" applyFont="1" applyFill="1" applyBorder="1" applyAlignment="1">
      <alignment horizontal="center"/>
    </xf>
    <xf numFmtId="0" fontId="1" fillId="0" borderId="0" xfId="0" applyFont="1" applyFill="1" applyBorder="1"/>
    <xf numFmtId="0" fontId="1" fillId="0" borderId="0" xfId="0" applyFont="1"/>
    <xf numFmtId="0" fontId="1" fillId="0" borderId="0" xfId="0" applyFont="1" applyFill="1"/>
    <xf numFmtId="1" fontId="1" fillId="0" borderId="0" xfId="0" applyNumberFormat="1" applyFont="1" applyFill="1" applyBorder="1"/>
    <xf numFmtId="164" fontId="1" fillId="0" borderId="0" xfId="0" applyNumberFormat="1" applyFont="1"/>
    <xf numFmtId="0" fontId="2" fillId="2" borderId="0" xfId="0" applyFont="1" applyFill="1" applyBorder="1"/>
    <xf numFmtId="0" fontId="1" fillId="2" borderId="0" xfId="0" applyFont="1" applyFill="1" applyAlignment="1">
      <alignment horizontal="center"/>
    </xf>
    <xf numFmtId="164" fontId="1" fillId="2" borderId="0" xfId="0" applyNumberFormat="1" applyFont="1" applyFill="1" applyAlignment="1">
      <alignment horizontal="center"/>
    </xf>
    <xf numFmtId="0" fontId="1" fillId="2" borderId="0" xfId="0" applyFont="1" applyFill="1" applyBorder="1" applyAlignment="1"/>
    <xf numFmtId="1" fontId="5" fillId="2" borderId="0" xfId="0" applyNumberFormat="1" applyFont="1" applyFill="1" applyBorder="1" applyAlignment="1">
      <alignment horizontal="center"/>
    </xf>
    <xf numFmtId="2" fontId="1" fillId="2" borderId="0" xfId="0" applyNumberFormat="1" applyFont="1" applyFill="1" applyBorder="1" applyAlignment="1">
      <alignment horizontal="center"/>
    </xf>
    <xf numFmtId="2" fontId="4" fillId="3" borderId="1" xfId="0" applyNumberFormat="1" applyFont="1" applyFill="1" applyBorder="1" applyAlignment="1">
      <alignment horizontal="center"/>
    </xf>
    <xf numFmtId="2" fontId="11" fillId="3" borderId="1" xfId="0" applyNumberFormat="1" applyFont="1" applyFill="1" applyBorder="1" applyAlignment="1">
      <alignment horizontal="center"/>
    </xf>
    <xf numFmtId="0" fontId="1" fillId="3" borderId="1" xfId="0" applyFont="1" applyFill="1" applyBorder="1" applyAlignment="1">
      <alignment horizontal="center"/>
    </xf>
    <xf numFmtId="1" fontId="12" fillId="3" borderId="1" xfId="0" applyNumberFormat="1" applyFont="1" applyFill="1" applyBorder="1" applyAlignment="1">
      <alignment horizontal="center" vertical="center" wrapText="1"/>
    </xf>
    <xf numFmtId="1" fontId="5" fillId="3" borderId="1" xfId="0" applyNumberFormat="1" applyFont="1" applyFill="1" applyBorder="1" applyAlignment="1">
      <alignment horizontal="center"/>
    </xf>
    <xf numFmtId="1" fontId="4" fillId="3" borderId="1" xfId="0" applyNumberFormat="1"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2" fontId="5" fillId="3" borderId="1" xfId="0" applyNumberFormat="1" applyFont="1" applyFill="1" applyBorder="1" applyAlignment="1">
      <alignment horizontal="center"/>
    </xf>
    <xf numFmtId="0" fontId="7" fillId="3" borderId="4" xfId="0" applyFont="1" applyFill="1" applyBorder="1" applyAlignment="1">
      <alignment horizontal="center" vertical="center" wrapText="1"/>
    </xf>
    <xf numFmtId="0" fontId="2" fillId="4" borderId="0" xfId="0" applyFont="1" applyFill="1" applyBorder="1"/>
    <xf numFmtId="0" fontId="1" fillId="4" borderId="0" xfId="0" applyFont="1" applyFill="1" applyAlignment="1">
      <alignment horizontal="center"/>
    </xf>
    <xf numFmtId="164" fontId="1" fillId="4" borderId="0" xfId="0" applyNumberFormat="1" applyFont="1" applyFill="1" applyAlignment="1">
      <alignment horizontal="center"/>
    </xf>
    <xf numFmtId="0" fontId="1" fillId="4" borderId="0" xfId="0" applyFont="1" applyFill="1"/>
    <xf numFmtId="0" fontId="1" fillId="4" borderId="0" xfId="0" applyFont="1" applyFill="1" applyBorder="1"/>
    <xf numFmtId="2" fontId="1" fillId="4" borderId="0" xfId="0" applyNumberFormat="1" applyFont="1" applyFill="1" applyBorder="1" applyAlignment="1">
      <alignment horizontal="center"/>
    </xf>
    <xf numFmtId="0" fontId="1" fillId="4" borderId="0" xfId="0" applyFont="1" applyFill="1" applyBorder="1" applyAlignment="1">
      <alignment horizontal="center"/>
    </xf>
    <xf numFmtId="1" fontId="5" fillId="4" borderId="0" xfId="0" applyNumberFormat="1" applyFont="1" applyFill="1" applyBorder="1" applyAlignment="1">
      <alignment horizontal="center"/>
    </xf>
    <xf numFmtId="0" fontId="2" fillId="5" borderId="0" xfId="0" applyFont="1" applyFill="1" applyBorder="1"/>
    <xf numFmtId="2" fontId="1" fillId="5" borderId="0" xfId="0" applyNumberFormat="1" applyFont="1" applyFill="1" applyBorder="1" applyAlignment="1">
      <alignment horizontal="center"/>
    </xf>
    <xf numFmtId="0" fontId="1" fillId="5" borderId="0" xfId="0" applyFont="1" applyFill="1" applyBorder="1"/>
    <xf numFmtId="1" fontId="6" fillId="5" borderId="0" xfId="0" applyNumberFormat="1" applyFont="1" applyFill="1" applyBorder="1" applyAlignment="1">
      <alignment horizontal="center"/>
    </xf>
    <xf numFmtId="0" fontId="1" fillId="5" borderId="0" xfId="0" applyFont="1" applyFill="1" applyBorder="1" applyAlignment="1">
      <alignment horizontal="center"/>
    </xf>
    <xf numFmtId="0" fontId="1" fillId="5" borderId="0" xfId="0" applyFont="1" applyFill="1"/>
    <xf numFmtId="0" fontId="1" fillId="5" borderId="0" xfId="0" applyFont="1" applyFill="1" applyAlignment="1">
      <alignment horizontal="center"/>
    </xf>
    <xf numFmtId="0" fontId="1" fillId="5" borderId="0" xfId="0" applyFont="1" applyFill="1" applyBorder="1" applyAlignment="1">
      <alignment horizontal="left"/>
    </xf>
    <xf numFmtId="1" fontId="5" fillId="5" borderId="0" xfId="0" applyNumberFormat="1" applyFont="1" applyFill="1" applyBorder="1" applyAlignment="1">
      <alignment horizontal="center"/>
    </xf>
    <xf numFmtId="0" fontId="1" fillId="5" borderId="0" xfId="0" applyFont="1" applyFill="1" applyBorder="1" applyAlignment="1"/>
    <xf numFmtId="164" fontId="1" fillId="5" borderId="0" xfId="0" applyNumberFormat="1" applyFont="1" applyFill="1" applyBorder="1"/>
    <xf numFmtId="0" fontId="11" fillId="3" borderId="1" xfId="0" applyFont="1" applyFill="1" applyBorder="1" applyAlignment="1">
      <alignment horizontal="center"/>
    </xf>
    <xf numFmtId="0" fontId="2" fillId="6" borderId="0" xfId="0" applyFont="1" applyFill="1" applyBorder="1"/>
    <xf numFmtId="2" fontId="1" fillId="6" borderId="0" xfId="0" applyNumberFormat="1" applyFont="1" applyFill="1" applyBorder="1" applyAlignment="1">
      <alignment horizontal="center"/>
    </xf>
    <xf numFmtId="0" fontId="1" fillId="6" borderId="0" xfId="0" applyFont="1" applyFill="1" applyBorder="1"/>
    <xf numFmtId="1" fontId="6" fillId="6" borderId="0" xfId="0" applyNumberFormat="1" applyFont="1" applyFill="1" applyBorder="1" applyAlignment="1">
      <alignment horizontal="center"/>
    </xf>
    <xf numFmtId="0" fontId="1" fillId="6" borderId="0" xfId="0" applyFont="1" applyFill="1" applyBorder="1" applyAlignment="1">
      <alignment horizontal="center"/>
    </xf>
    <xf numFmtId="1" fontId="1" fillId="6" borderId="0" xfId="0" applyNumberFormat="1" applyFont="1" applyFill="1" applyBorder="1"/>
    <xf numFmtId="0" fontId="1" fillId="6" borderId="0" xfId="0" applyFont="1" applyFill="1"/>
    <xf numFmtId="0" fontId="1" fillId="6" borderId="0" xfId="0" applyFont="1" applyFill="1" applyAlignment="1">
      <alignment horizontal="center"/>
    </xf>
    <xf numFmtId="2" fontId="1" fillId="6" borderId="0" xfId="0" applyNumberFormat="1" applyFont="1" applyFill="1"/>
    <xf numFmtId="2" fontId="1" fillId="6" borderId="0" xfId="0" applyNumberFormat="1" applyFont="1" applyFill="1" applyBorder="1"/>
    <xf numFmtId="1" fontId="1" fillId="6" borderId="0" xfId="0" applyNumberFormat="1" applyFont="1" applyFill="1" applyBorder="1" applyAlignment="1">
      <alignment horizontal="center"/>
    </xf>
    <xf numFmtId="164" fontId="1" fillId="6" borderId="0" xfId="0" applyNumberFormat="1" applyFont="1" applyFill="1" applyBorder="1"/>
    <xf numFmtId="0" fontId="13" fillId="3" borderId="1" xfId="0" applyFont="1" applyFill="1" applyBorder="1" applyAlignment="1">
      <alignment horizontal="center"/>
    </xf>
    <xf numFmtId="2" fontId="7" fillId="6" borderId="5" xfId="0" applyNumberFormat="1" applyFont="1" applyFill="1" applyBorder="1" applyAlignment="1">
      <alignment horizontal="center" wrapText="1"/>
    </xf>
    <xf numFmtId="0" fontId="1" fillId="6" borderId="6" xfId="0" applyFont="1" applyFill="1" applyBorder="1"/>
    <xf numFmtId="2" fontId="7" fillId="6" borderId="7" xfId="0" applyNumberFormat="1" applyFont="1" applyFill="1" applyBorder="1" applyAlignment="1">
      <alignment horizontal="center" wrapText="1"/>
    </xf>
    <xf numFmtId="0" fontId="1" fillId="6" borderId="8" xfId="0" applyFont="1" applyFill="1" applyBorder="1"/>
    <xf numFmtId="2" fontId="11" fillId="6" borderId="9" xfId="0" applyNumberFormat="1" applyFont="1" applyFill="1" applyBorder="1" applyAlignment="1">
      <alignment horizontal="center"/>
    </xf>
    <xf numFmtId="0" fontId="1" fillId="6" borderId="10" xfId="0" applyFont="1" applyFill="1" applyBorder="1"/>
    <xf numFmtId="0" fontId="11" fillId="2" borderId="11" xfId="0" applyFont="1" applyFill="1" applyBorder="1" applyAlignment="1">
      <alignment horizontal="center"/>
    </xf>
    <xf numFmtId="0" fontId="1" fillId="5" borderId="12" xfId="0" applyFont="1" applyFill="1" applyBorder="1" applyAlignment="1">
      <alignment horizontal="center"/>
    </xf>
    <xf numFmtId="0" fontId="1" fillId="5" borderId="4" xfId="0" applyFont="1" applyFill="1" applyBorder="1" applyAlignment="1">
      <alignment horizontal="center"/>
    </xf>
    <xf numFmtId="1" fontId="11" fillId="3" borderId="1" xfId="0" applyNumberFormat="1" applyFont="1" applyFill="1" applyBorder="1" applyAlignment="1">
      <alignment horizontal="center"/>
    </xf>
    <xf numFmtId="0" fontId="1" fillId="7" borderId="0" xfId="0" applyFont="1" applyFill="1" applyBorder="1"/>
    <xf numFmtId="164" fontId="13" fillId="3" borderId="1" xfId="0" applyNumberFormat="1" applyFont="1" applyFill="1" applyBorder="1" applyAlignment="1">
      <alignment horizontal="center"/>
    </xf>
    <xf numFmtId="0" fontId="1" fillId="6" borderId="0" xfId="0" applyFont="1" applyFill="1" applyBorder="1" applyAlignment="1">
      <alignment horizontal="left"/>
    </xf>
    <xf numFmtId="0" fontId="2" fillId="8" borderId="0" xfId="0" applyFont="1" applyFill="1"/>
    <xf numFmtId="0" fontId="1" fillId="8" borderId="0" xfId="0" applyFont="1" applyFill="1"/>
    <xf numFmtId="0" fontId="1" fillId="8" borderId="0" xfId="0" applyFont="1" applyFill="1" applyBorder="1" applyAlignment="1">
      <alignment horizontal="left"/>
    </xf>
    <xf numFmtId="0" fontId="1" fillId="8" borderId="0" xfId="0" applyFont="1" applyFill="1" applyBorder="1"/>
    <xf numFmtId="0" fontId="1" fillId="8" borderId="0" xfId="0" applyFont="1" applyFill="1" applyBorder="1" applyAlignment="1">
      <alignment horizontal="center"/>
    </xf>
    <xf numFmtId="1" fontId="5" fillId="8" borderId="0" xfId="0" applyNumberFormat="1" applyFont="1" applyFill="1" applyBorder="1" applyAlignment="1">
      <alignment horizontal="center"/>
    </xf>
    <xf numFmtId="0" fontId="1" fillId="8" borderId="0" xfId="0" applyFont="1" applyFill="1" applyAlignment="1">
      <alignment horizontal="center"/>
    </xf>
    <xf numFmtId="0" fontId="1" fillId="8" borderId="0" xfId="0" applyFont="1" applyFill="1" applyAlignment="1"/>
    <xf numFmtId="0" fontId="2" fillId="9" borderId="0" xfId="0" applyFont="1" applyFill="1"/>
    <xf numFmtId="0" fontId="1" fillId="9" borderId="0" xfId="0" applyFont="1" applyFill="1"/>
    <xf numFmtId="0" fontId="1" fillId="9" borderId="0" xfId="0" applyFont="1" applyFill="1" applyAlignment="1"/>
    <xf numFmtId="164" fontId="1" fillId="9" borderId="0" xfId="0" applyNumberFormat="1" applyFont="1" applyFill="1"/>
    <xf numFmtId="0" fontId="1" fillId="9" borderId="0" xfId="0" applyFont="1" applyFill="1" applyBorder="1" applyAlignment="1">
      <alignment horizontal="left"/>
    </xf>
    <xf numFmtId="0" fontId="1" fillId="9" borderId="0" xfId="0" applyFont="1" applyFill="1" applyAlignment="1">
      <alignment horizontal="center"/>
    </xf>
    <xf numFmtId="0" fontId="1" fillId="9" borderId="0" xfId="0" applyFont="1" applyFill="1" applyBorder="1"/>
    <xf numFmtId="0" fontId="1" fillId="9" borderId="0" xfId="0" applyFont="1" applyFill="1" applyBorder="1" applyAlignment="1">
      <alignment horizontal="center"/>
    </xf>
    <xf numFmtId="1" fontId="5" fillId="9" borderId="0" xfId="0" applyNumberFormat="1" applyFont="1" applyFill="1" applyBorder="1" applyAlignment="1">
      <alignment horizontal="center"/>
    </xf>
    <xf numFmtId="2" fontId="1" fillId="9" borderId="0" xfId="0" applyNumberFormat="1" applyFont="1" applyFill="1"/>
    <xf numFmtId="1" fontId="1" fillId="9" borderId="0" xfId="0" applyNumberFormat="1" applyFont="1" applyFill="1"/>
    <xf numFmtId="0" fontId="2" fillId="7" borderId="0" xfId="0" applyFont="1" applyFill="1" applyBorder="1"/>
    <xf numFmtId="164" fontId="1" fillId="7" borderId="0" xfId="0" applyNumberFormat="1" applyFont="1" applyFill="1" applyBorder="1"/>
    <xf numFmtId="164" fontId="1" fillId="2" borderId="0" xfId="0" applyNumberFormat="1" applyFont="1" applyFill="1"/>
    <xf numFmtId="0" fontId="1" fillId="2" borderId="0" xfId="0" applyFont="1" applyFill="1" applyAlignment="1"/>
    <xf numFmtId="1" fontId="3" fillId="3" borderId="1" xfId="0" applyNumberFormat="1" applyFont="1" applyFill="1" applyBorder="1" applyAlignment="1">
      <alignment horizontal="center"/>
    </xf>
    <xf numFmtId="1" fontId="6" fillId="4" borderId="0" xfId="0" applyNumberFormat="1" applyFont="1" applyFill="1" applyBorder="1" applyAlignment="1">
      <alignment horizontal="center"/>
    </xf>
    <xf numFmtId="0" fontId="1" fillId="4" borderId="0" xfId="0" applyFont="1" applyFill="1" applyAlignment="1"/>
    <xf numFmtId="0" fontId="11" fillId="3" borderId="3" xfId="0" applyFont="1" applyFill="1" applyBorder="1" applyAlignment="1">
      <alignment horizontal="center"/>
    </xf>
    <xf numFmtId="1" fontId="1" fillId="5" borderId="0" xfId="0" applyNumberFormat="1" applyFont="1" applyFill="1" applyBorder="1"/>
    <xf numFmtId="0" fontId="0" fillId="5" borderId="4" xfId="0" applyFill="1" applyBorder="1" applyAlignment="1">
      <alignment horizontal="center"/>
    </xf>
    <xf numFmtId="1" fontId="1" fillId="5" borderId="0" xfId="0" applyNumberFormat="1" applyFont="1" applyFill="1" applyBorder="1" applyAlignment="1">
      <alignment horizontal="center"/>
    </xf>
    <xf numFmtId="2" fontId="1" fillId="6" borderId="5" xfId="0" applyNumberFormat="1" applyFont="1" applyFill="1" applyBorder="1" applyAlignment="1">
      <alignment horizontal="center"/>
    </xf>
    <xf numFmtId="0" fontId="1" fillId="6" borderId="13" xfId="0" applyFont="1" applyFill="1" applyBorder="1"/>
    <xf numFmtId="0" fontId="1" fillId="6" borderId="14" xfId="0" applyFont="1" applyFill="1" applyBorder="1"/>
    <xf numFmtId="0" fontId="1" fillId="6" borderId="0" xfId="0" applyFont="1" applyFill="1" applyAlignment="1"/>
    <xf numFmtId="2" fontId="7" fillId="8" borderId="12" xfId="0" applyNumberFormat="1" applyFont="1" applyFill="1" applyBorder="1" applyAlignment="1">
      <alignment horizontal="center" wrapText="1"/>
    </xf>
    <xf numFmtId="2" fontId="7" fillId="8" borderId="4" xfId="0" applyNumberFormat="1" applyFont="1" applyFill="1" applyBorder="1" applyAlignment="1">
      <alignment horizontal="center" wrapText="1"/>
    </xf>
    <xf numFmtId="0" fontId="11" fillId="8" borderId="11" xfId="0" applyFont="1" applyFill="1" applyBorder="1" applyAlignment="1">
      <alignment horizontal="center"/>
    </xf>
    <xf numFmtId="165" fontId="5" fillId="8" borderId="0" xfId="0" applyNumberFormat="1" applyFont="1" applyFill="1" applyBorder="1" applyAlignment="1">
      <alignment horizontal="center"/>
    </xf>
    <xf numFmtId="2" fontId="7" fillId="9" borderId="12" xfId="0" applyNumberFormat="1" applyFont="1" applyFill="1" applyBorder="1" applyAlignment="1">
      <alignment horizontal="center" wrapText="1"/>
    </xf>
    <xf numFmtId="2" fontId="7" fillId="9" borderId="4" xfId="0" applyNumberFormat="1" applyFont="1" applyFill="1" applyBorder="1" applyAlignment="1">
      <alignment horizontal="center" wrapText="1"/>
    </xf>
    <xf numFmtId="0" fontId="11" fillId="9" borderId="11" xfId="0" applyFont="1" applyFill="1" applyBorder="1" applyAlignment="1">
      <alignment horizontal="center"/>
    </xf>
    <xf numFmtId="165" fontId="5" fillId="9" borderId="0" xfId="0" applyNumberFormat="1" applyFont="1" applyFill="1" applyBorder="1" applyAlignment="1">
      <alignment horizontal="center"/>
    </xf>
    <xf numFmtId="0" fontId="1" fillId="7" borderId="0" xfId="0" applyFont="1" applyFill="1" applyAlignment="1">
      <alignment vertical="center"/>
    </xf>
    <xf numFmtId="0" fontId="1" fillId="7" borderId="0" xfId="0" applyFont="1" applyFill="1" applyBorder="1" applyAlignment="1">
      <alignment vertical="center"/>
    </xf>
    <xf numFmtId="0" fontId="1" fillId="3" borderId="11" xfId="0" applyFont="1" applyFill="1" applyBorder="1" applyAlignment="1">
      <alignment horizontal="center"/>
    </xf>
    <xf numFmtId="0" fontId="4" fillId="3" borderId="1" xfId="0" applyNumberFormat="1" applyFont="1" applyFill="1" applyBorder="1" applyAlignment="1">
      <alignment horizontal="center"/>
    </xf>
    <xf numFmtId="0" fontId="0" fillId="7" borderId="0" xfId="0" applyFill="1" applyAlignment="1">
      <alignment vertical="center"/>
    </xf>
    <xf numFmtId="2" fontId="1" fillId="7" borderId="0" xfId="0" applyNumberFormat="1" applyFont="1" applyFill="1" applyBorder="1" applyAlignment="1">
      <alignment horizontal="center"/>
    </xf>
    <xf numFmtId="1" fontId="6" fillId="7" borderId="0" xfId="0" applyNumberFormat="1" applyFont="1" applyFill="1" applyBorder="1" applyAlignment="1">
      <alignment horizontal="center"/>
    </xf>
    <xf numFmtId="164" fontId="1" fillId="7" borderId="0" xfId="0" applyNumberFormat="1" applyFont="1" applyFill="1" applyAlignment="1">
      <alignment vertical="center"/>
    </xf>
    <xf numFmtId="164" fontId="1" fillId="7" borderId="0" xfId="0" applyNumberFormat="1" applyFont="1" applyFill="1" applyBorder="1" applyAlignment="1">
      <alignment horizontal="center"/>
    </xf>
    <xf numFmtId="0" fontId="1" fillId="7" borderId="0" xfId="0" applyFont="1" applyFill="1" applyBorder="1" applyAlignment="1">
      <alignment horizontal="center"/>
    </xf>
    <xf numFmtId="0" fontId="9" fillId="3" borderId="1" xfId="0" applyNumberFormat="1" applyFont="1" applyFill="1" applyBorder="1" applyAlignment="1">
      <alignment horizontal="center"/>
    </xf>
    <xf numFmtId="0" fontId="9" fillId="7" borderId="0" xfId="0" applyFont="1" applyFill="1" applyBorder="1" applyAlignment="1">
      <alignment horizontal="right"/>
    </xf>
    <xf numFmtId="0" fontId="1" fillId="7" borderId="0" xfId="0" applyFont="1" applyFill="1" applyBorder="1" applyAlignment="1">
      <alignment horizontal="left"/>
    </xf>
    <xf numFmtId="0" fontId="9" fillId="3" borderId="3" xfId="0" applyFont="1" applyFill="1" applyBorder="1" applyAlignment="1">
      <alignment horizontal="right"/>
    </xf>
    <xf numFmtId="0" fontId="1" fillId="3" borderId="10" xfId="0" applyFont="1" applyFill="1" applyBorder="1" applyAlignment="1">
      <alignment horizontal="center"/>
    </xf>
    <xf numFmtId="0" fontId="4" fillId="3" borderId="3" xfId="0" applyFont="1" applyFill="1" applyBorder="1" applyAlignment="1">
      <alignment horizontal="right"/>
    </xf>
    <xf numFmtId="0" fontId="1" fillId="7" borderId="0" xfId="0" applyFont="1" applyFill="1"/>
    <xf numFmtId="164" fontId="1" fillId="7" borderId="0" xfId="0" applyNumberFormat="1" applyFont="1" applyFill="1"/>
    <xf numFmtId="164" fontId="1" fillId="0" borderId="0" xfId="0" applyNumberFormat="1" applyFont="1" applyFill="1" applyBorder="1" applyAlignment="1">
      <alignment horizontal="center"/>
    </xf>
    <xf numFmtId="0" fontId="1" fillId="0" borderId="7" xfId="0" applyFont="1" applyBorder="1" applyAlignment="1">
      <alignment vertical="center"/>
    </xf>
    <xf numFmtId="0" fontId="1" fillId="0" borderId="14" xfId="0" applyFont="1" applyBorder="1" applyAlignment="1">
      <alignment vertical="center"/>
    </xf>
    <xf numFmtId="0" fontId="1" fillId="0" borderId="7" xfId="0" applyFont="1" applyFill="1" applyBorder="1"/>
    <xf numFmtId="0" fontId="13" fillId="7" borderId="0" xfId="0" applyFont="1" applyFill="1" applyAlignment="1">
      <alignment vertical="center"/>
    </xf>
    <xf numFmtId="0" fontId="13" fillId="7" borderId="0" xfId="0" applyFont="1" applyFill="1" applyAlignment="1">
      <alignment horizontal="right" vertical="center"/>
    </xf>
    <xf numFmtId="1" fontId="5" fillId="7" borderId="0" xfId="0" applyNumberFormat="1" applyFont="1" applyFill="1" applyBorder="1" applyAlignment="1">
      <alignment horizontal="center"/>
    </xf>
    <xf numFmtId="1" fontId="1" fillId="7" borderId="0" xfId="0" applyNumberFormat="1" applyFont="1" applyFill="1" applyBorder="1"/>
    <xf numFmtId="1" fontId="1" fillId="7" borderId="0" xfId="0" applyNumberFormat="1" applyFont="1" applyFill="1" applyBorder="1" applyAlignment="1">
      <alignment horizontal="center"/>
    </xf>
    <xf numFmtId="2" fontId="1" fillId="7" borderId="0" xfId="0" applyNumberFormat="1" applyFont="1" applyFill="1"/>
    <xf numFmtId="2" fontId="1" fillId="7" borderId="0" xfId="0" applyNumberFormat="1" applyFont="1" applyFill="1" applyBorder="1"/>
    <xf numFmtId="165" fontId="5" fillId="7" borderId="0" xfId="0" applyNumberFormat="1" applyFont="1" applyFill="1" applyBorder="1" applyAlignment="1">
      <alignment horizontal="center"/>
    </xf>
    <xf numFmtId="164" fontId="1" fillId="9" borderId="0" xfId="0" applyNumberFormat="1" applyFont="1" applyFill="1" applyBorder="1"/>
    <xf numFmtId="1" fontId="1" fillId="9" borderId="0" xfId="0" applyNumberFormat="1" applyFont="1" applyFill="1" applyBorder="1"/>
    <xf numFmtId="0" fontId="4" fillId="3" borderId="2" xfId="0" applyNumberFormat="1" applyFont="1" applyFill="1" applyBorder="1" applyAlignment="1">
      <alignment horizontal="center"/>
    </xf>
    <xf numFmtId="2" fontId="7" fillId="2" borderId="12" xfId="0" applyNumberFormat="1" applyFont="1" applyFill="1" applyBorder="1" applyAlignment="1">
      <alignment wrapText="1"/>
    </xf>
    <xf numFmtId="2" fontId="7" fillId="2" borderId="4" xfId="0" applyNumberFormat="1" applyFont="1" applyFill="1" applyBorder="1" applyAlignment="1">
      <alignment wrapText="1"/>
    </xf>
    <xf numFmtId="0" fontId="1" fillId="3" borderId="9" xfId="0" applyFont="1" applyFill="1" applyBorder="1" applyAlignment="1">
      <alignment horizontal="center"/>
    </xf>
    <xf numFmtId="165" fontId="18" fillId="7" borderId="0" xfId="0" applyNumberFormat="1" applyFont="1" applyFill="1" applyBorder="1" applyAlignment="1">
      <alignment horizontal="center"/>
    </xf>
    <xf numFmtId="2" fontId="18" fillId="7" borderId="0" xfId="0" applyNumberFormat="1" applyFont="1" applyFill="1" applyBorder="1" applyAlignment="1">
      <alignment horizontal="center"/>
    </xf>
    <xf numFmtId="1" fontId="1" fillId="5" borderId="0" xfId="0" applyNumberFormat="1" applyFont="1" applyFill="1" applyAlignment="1">
      <alignment horizontal="center"/>
    </xf>
    <xf numFmtId="0" fontId="1" fillId="5" borderId="0" xfId="0" applyFont="1" applyFill="1" applyAlignment="1">
      <alignment horizontal="left"/>
    </xf>
    <xf numFmtId="165" fontId="1" fillId="7" borderId="0" xfId="0" applyNumberFormat="1" applyFont="1" applyFill="1" applyAlignment="1">
      <alignment horizontal="left" vertical="center"/>
    </xf>
    <xf numFmtId="1" fontId="19" fillId="3" borderId="11" xfId="0" applyNumberFormat="1" applyFont="1" applyFill="1" applyBorder="1" applyAlignment="1">
      <alignment horizontal="center" vertical="center" wrapText="1"/>
    </xf>
    <xf numFmtId="1" fontId="13" fillId="6" borderId="0" xfId="0" applyNumberFormat="1" applyFont="1" applyFill="1" applyBorder="1" applyAlignment="1">
      <alignment horizontal="left"/>
    </xf>
    <xf numFmtId="0" fontId="1" fillId="6" borderId="0" xfId="0" applyFont="1" applyFill="1" applyBorder="1" applyAlignment="1">
      <alignment horizontal="right"/>
    </xf>
    <xf numFmtId="2" fontId="1" fillId="7" borderId="0" xfId="0" applyNumberFormat="1" applyFont="1" applyFill="1" applyBorder="1" applyAlignment="1">
      <alignment horizontal="left"/>
    </xf>
    <xf numFmtId="0" fontId="1" fillId="0" borderId="0" xfId="0" applyFont="1" applyFill="1" applyAlignment="1">
      <alignment vertical="center"/>
    </xf>
    <xf numFmtId="164" fontId="1" fillId="0" borderId="0" xfId="0" applyNumberFormat="1" applyFont="1" applyFill="1" applyAlignment="1">
      <alignment vertical="center"/>
    </xf>
    <xf numFmtId="2" fontId="18" fillId="0" borderId="0" xfId="0" applyNumberFormat="1" applyFont="1" applyFill="1" applyBorder="1" applyAlignment="1">
      <alignment horizontal="center"/>
    </xf>
    <xf numFmtId="1" fontId="6" fillId="0" borderId="0" xfId="0" applyNumberFormat="1" applyFont="1" applyFill="1" applyBorder="1" applyAlignment="1">
      <alignment horizontal="center"/>
    </xf>
    <xf numFmtId="0" fontId="1" fillId="0" borderId="0" xfId="0" applyFont="1" applyFill="1" applyAlignment="1">
      <alignment horizontal="center"/>
    </xf>
    <xf numFmtId="164" fontId="10" fillId="0" borderId="3" xfId="0" applyNumberFormat="1" applyFont="1" applyFill="1" applyBorder="1" applyAlignment="1">
      <alignment horizontal="center"/>
    </xf>
    <xf numFmtId="165" fontId="1" fillId="0" borderId="0" xfId="0" applyNumberFormat="1" applyFont="1" applyFill="1" applyBorder="1" applyAlignment="1">
      <alignment horizontal="center"/>
    </xf>
    <xf numFmtId="164" fontId="1" fillId="0" borderId="0" xfId="0" applyNumberFormat="1" applyFont="1" applyFill="1" applyAlignment="1">
      <alignment horizontal="center"/>
    </xf>
    <xf numFmtId="164" fontId="10" fillId="0" borderId="1" xfId="0" applyNumberFormat="1" applyFont="1" applyFill="1" applyBorder="1" applyAlignment="1">
      <alignment horizontal="center"/>
    </xf>
    <xf numFmtId="164" fontId="1" fillId="0" borderId="0" xfId="0" applyNumberFormat="1" applyFont="1" applyFill="1"/>
    <xf numFmtId="164" fontId="1" fillId="0" borderId="0" xfId="0" applyNumberFormat="1" applyFont="1" applyFill="1" applyBorder="1"/>
    <xf numFmtId="2" fontId="1" fillId="5" borderId="0" xfId="0" applyNumberFormat="1" applyFont="1" applyFill="1" applyAlignment="1">
      <alignment horizontal="center"/>
    </xf>
    <xf numFmtId="2" fontId="1" fillId="6" borderId="0" xfId="0" applyNumberFormat="1" applyFont="1" applyFill="1" applyAlignment="1">
      <alignment horizontal="center"/>
    </xf>
    <xf numFmtId="2" fontId="1" fillId="8" borderId="0" xfId="0" applyNumberFormat="1" applyFont="1" applyFill="1" applyAlignment="1">
      <alignment horizontal="center"/>
    </xf>
    <xf numFmtId="2" fontId="1" fillId="9" borderId="0" xfId="0" applyNumberFormat="1" applyFont="1" applyFill="1" applyAlignment="1">
      <alignment horizontal="center"/>
    </xf>
    <xf numFmtId="1" fontId="5" fillId="0" borderId="0" xfId="0" applyNumberFormat="1" applyFont="1" applyFill="1" applyBorder="1" applyAlignment="1">
      <alignment horizontal="center"/>
    </xf>
    <xf numFmtId="0" fontId="10" fillId="0" borderId="0" xfId="0" applyFont="1" applyFill="1"/>
    <xf numFmtId="0" fontId="10" fillId="0" borderId="0" xfId="0" applyFont="1" applyFill="1" applyBorder="1" applyAlignment="1">
      <alignment horizontal="center"/>
    </xf>
    <xf numFmtId="1" fontId="20" fillId="0" borderId="0" xfId="0" applyNumberFormat="1" applyFont="1" applyFill="1" applyBorder="1" applyAlignment="1">
      <alignment horizontal="center"/>
    </xf>
    <xf numFmtId="165" fontId="20" fillId="0" borderId="0" xfId="0" applyNumberFormat="1" applyFont="1" applyFill="1" applyBorder="1" applyAlignment="1">
      <alignment horizontal="center"/>
    </xf>
    <xf numFmtId="0" fontId="10" fillId="0" borderId="0" xfId="0" applyFont="1" applyFill="1" applyAlignment="1">
      <alignment vertical="center"/>
    </xf>
    <xf numFmtId="165" fontId="10" fillId="0" borderId="0" xfId="0" applyNumberFormat="1" applyFont="1" applyFill="1" applyAlignment="1">
      <alignment horizontal="left" vertical="center"/>
    </xf>
    <xf numFmtId="2" fontId="20" fillId="0" borderId="0" xfId="0" applyNumberFormat="1" applyFont="1" applyFill="1" applyBorder="1" applyAlignment="1">
      <alignment horizontal="center"/>
    </xf>
    <xf numFmtId="0" fontId="10" fillId="0" borderId="0" xfId="0" applyFont="1" applyFill="1" applyAlignment="1">
      <alignment horizontal="center"/>
    </xf>
    <xf numFmtId="1" fontId="10" fillId="0" borderId="1" xfId="0" applyNumberFormat="1" applyFont="1" applyFill="1" applyBorder="1" applyAlignment="1">
      <alignment horizontal="center"/>
    </xf>
    <xf numFmtId="164" fontId="10" fillId="0" borderId="0" xfId="0" applyNumberFormat="1" applyFont="1" applyFill="1" applyBorder="1"/>
    <xf numFmtId="0" fontId="10" fillId="0" borderId="0" xfId="0" applyFont="1" applyFill="1" applyBorder="1"/>
    <xf numFmtId="1" fontId="10" fillId="0" borderId="0" xfId="0" applyNumberFormat="1" applyFont="1" applyFill="1" applyBorder="1" applyAlignment="1">
      <alignment horizontal="center"/>
    </xf>
    <xf numFmtId="164" fontId="5" fillId="3" borderId="1" xfId="0" applyNumberFormat="1" applyFont="1" applyFill="1" applyBorder="1" applyAlignment="1">
      <alignment horizontal="center"/>
    </xf>
    <xf numFmtId="2" fontId="1" fillId="0" borderId="0" xfId="0" applyNumberFormat="1" applyFont="1" applyFill="1"/>
    <xf numFmtId="2" fontId="1" fillId="0" borderId="0" xfId="0" applyNumberFormat="1" applyFont="1" applyFill="1" applyBorder="1"/>
    <xf numFmtId="1" fontId="1" fillId="0" borderId="0" xfId="0" applyNumberFormat="1" applyFont="1" applyFill="1" applyBorder="1" applyAlignment="1">
      <alignment horizontal="center"/>
    </xf>
    <xf numFmtId="1" fontId="1" fillId="0" borderId="0" xfId="0" applyNumberFormat="1" applyFont="1" applyFill="1"/>
    <xf numFmtId="164" fontId="6" fillId="7" borderId="0" xfId="0" applyNumberFormat="1" applyFont="1" applyFill="1" applyBorder="1" applyAlignment="1">
      <alignment horizontal="center"/>
    </xf>
    <xf numFmtId="164" fontId="10" fillId="0" borderId="2" xfId="0" applyNumberFormat="1" applyFont="1" applyFill="1" applyBorder="1" applyAlignment="1">
      <alignment horizontal="left"/>
    </xf>
    <xf numFmtId="164" fontId="10" fillId="0" borderId="1" xfId="0" applyNumberFormat="1" applyFont="1" applyFill="1" applyBorder="1" applyAlignment="1">
      <alignment horizontal="left"/>
    </xf>
    <xf numFmtId="0" fontId="1" fillId="0" borderId="1" xfId="0" applyFont="1" applyFill="1" applyBorder="1"/>
    <xf numFmtId="164" fontId="1" fillId="0" borderId="1" xfId="0" applyNumberFormat="1" applyFont="1" applyFill="1" applyBorder="1"/>
    <xf numFmtId="0" fontId="1" fillId="0" borderId="13" xfId="0" applyFont="1" applyFill="1" applyBorder="1" applyAlignment="1">
      <alignment horizontal="center"/>
    </xf>
    <xf numFmtId="0" fontId="1" fillId="0" borderId="13" xfId="0" applyFont="1" applyFill="1" applyBorder="1"/>
    <xf numFmtId="0" fontId="1" fillId="0" borderId="6" xfId="0" applyFont="1" applyFill="1" applyBorder="1" applyAlignment="1">
      <alignment horizontal="center"/>
    </xf>
    <xf numFmtId="0" fontId="1" fillId="0" borderId="8" xfId="0" applyFont="1" applyFill="1" applyBorder="1" applyAlignment="1">
      <alignment horizontal="center"/>
    </xf>
    <xf numFmtId="0" fontId="1" fillId="0" borderId="8" xfId="0" applyFont="1" applyBorder="1" applyAlignment="1">
      <alignment vertical="center"/>
    </xf>
    <xf numFmtId="0" fontId="1" fillId="3" borderId="9" xfId="0" applyFont="1" applyFill="1" applyBorder="1" applyAlignment="1">
      <alignment vertical="center"/>
    </xf>
    <xf numFmtId="0" fontId="1" fillId="0" borderId="10" xfId="0" applyFont="1" applyBorder="1" applyAlignment="1">
      <alignment vertical="center"/>
    </xf>
    <xf numFmtId="0" fontId="11" fillId="3" borderId="11" xfId="0" applyNumberFormat="1" applyFont="1" applyFill="1" applyBorder="1" applyAlignment="1">
      <alignment horizontal="center"/>
    </xf>
    <xf numFmtId="0" fontId="11" fillId="3" borderId="1" xfId="0" applyNumberFormat="1" applyFont="1" applyFill="1" applyBorder="1" applyAlignment="1">
      <alignment horizontal="center"/>
    </xf>
    <xf numFmtId="0" fontId="5" fillId="5" borderId="11" xfId="0" applyNumberFormat="1" applyFont="1" applyFill="1" applyBorder="1" applyAlignment="1">
      <alignment horizontal="center"/>
    </xf>
    <xf numFmtId="0" fontId="2" fillId="10" borderId="0" xfId="0" applyFont="1" applyFill="1" applyBorder="1"/>
    <xf numFmtId="0" fontId="1" fillId="10" borderId="0" xfId="0" applyFont="1" applyFill="1"/>
    <xf numFmtId="0" fontId="1" fillId="10" borderId="0" xfId="0" applyFont="1" applyFill="1" applyBorder="1"/>
    <xf numFmtId="0" fontId="1" fillId="10" borderId="0" xfId="0" applyFont="1" applyFill="1" applyAlignment="1"/>
    <xf numFmtId="0" fontId="1" fillId="10" borderId="0" xfId="0" applyFont="1" applyFill="1" applyBorder="1" applyAlignment="1">
      <alignment horizontal="left"/>
    </xf>
    <xf numFmtId="0" fontId="1" fillId="10" borderId="0" xfId="0" applyFont="1" applyFill="1" applyBorder="1" applyAlignment="1">
      <alignment horizontal="center"/>
    </xf>
    <xf numFmtId="2" fontId="7" fillId="10" borderId="12" xfId="0" applyNumberFormat="1" applyFont="1" applyFill="1" applyBorder="1" applyAlignment="1">
      <alignment horizontal="center" wrapText="1"/>
    </xf>
    <xf numFmtId="2" fontId="7" fillId="10" borderId="4" xfId="0" applyNumberFormat="1" applyFont="1" applyFill="1" applyBorder="1" applyAlignment="1">
      <alignment horizontal="center" wrapText="1"/>
    </xf>
    <xf numFmtId="0" fontId="11" fillId="10" borderId="11" xfId="0" applyFont="1" applyFill="1" applyBorder="1" applyAlignment="1">
      <alignment horizontal="center"/>
    </xf>
    <xf numFmtId="0" fontId="1" fillId="10" borderId="0" xfId="0" applyFont="1" applyFill="1" applyAlignment="1">
      <alignment horizontal="center"/>
    </xf>
    <xf numFmtId="1" fontId="5" fillId="10" borderId="0" xfId="0" applyNumberFormat="1" applyFont="1" applyFill="1" applyBorder="1" applyAlignment="1">
      <alignment horizontal="center"/>
    </xf>
    <xf numFmtId="165" fontId="5" fillId="10" borderId="0" xfId="0" applyNumberFormat="1" applyFont="1" applyFill="1" applyBorder="1" applyAlignment="1">
      <alignment horizontal="center"/>
    </xf>
    <xf numFmtId="0" fontId="1" fillId="10" borderId="0" xfId="0" applyFont="1" applyFill="1" applyBorder="1" applyAlignment="1"/>
    <xf numFmtId="2" fontId="1" fillId="10" borderId="0" xfId="0" applyNumberFormat="1" applyFont="1" applyFill="1" applyBorder="1" applyAlignment="1">
      <alignment horizontal="center"/>
    </xf>
    <xf numFmtId="1" fontId="6" fillId="10" borderId="0" xfId="0" applyNumberFormat="1" applyFont="1" applyFill="1" applyBorder="1" applyAlignment="1">
      <alignment horizontal="center"/>
    </xf>
    <xf numFmtId="1" fontId="1" fillId="10" borderId="0" xfId="0" applyNumberFormat="1" applyFont="1" applyFill="1" applyAlignment="1">
      <alignment horizontal="center"/>
    </xf>
    <xf numFmtId="2" fontId="1" fillId="10" borderId="0" xfId="0" applyNumberFormat="1" applyFont="1" applyFill="1" applyAlignment="1">
      <alignment horizontal="center"/>
    </xf>
    <xf numFmtId="0" fontId="1" fillId="10" borderId="0" xfId="0" applyFont="1" applyFill="1" applyAlignment="1">
      <alignment horizontal="left"/>
    </xf>
    <xf numFmtId="164" fontId="1" fillId="10" borderId="0" xfId="0" applyNumberFormat="1" applyFont="1" applyFill="1" applyBorder="1"/>
    <xf numFmtId="0" fontId="21" fillId="3" borderId="1" xfId="0" applyFont="1" applyFill="1" applyBorder="1" applyAlignment="1">
      <alignment horizontal="right"/>
    </xf>
    <xf numFmtId="0" fontId="11" fillId="3" borderId="1" xfId="0" applyNumberFormat="1" applyFont="1" applyFill="1" applyBorder="1" applyAlignment="1">
      <alignment horizontal="center" wrapText="1"/>
    </xf>
    <xf numFmtId="0" fontId="13" fillId="3" borderId="1" xfId="0" applyFont="1" applyFill="1" applyBorder="1" applyAlignment="1">
      <alignment horizontal="right"/>
    </xf>
    <xf numFmtId="0" fontId="13" fillId="0" borderId="1" xfId="0" applyFont="1" applyBorder="1" applyAlignment="1">
      <alignment horizontal="right"/>
    </xf>
    <xf numFmtId="0" fontId="5" fillId="8" borderId="0" xfId="0" applyFont="1" applyFill="1"/>
    <xf numFmtId="2" fontId="1" fillId="3" borderId="1" xfId="0" applyNumberFormat="1" applyFont="1" applyFill="1" applyBorder="1" applyAlignment="1">
      <alignment horizontal="center"/>
    </xf>
    <xf numFmtId="2" fontId="1" fillId="0" borderId="0" xfId="0" applyNumberFormat="1" applyFont="1" applyBorder="1"/>
    <xf numFmtId="0" fontId="11" fillId="0" borderId="1" xfId="0" applyFont="1" applyFill="1" applyBorder="1" applyAlignment="1">
      <alignment horizontal="center"/>
    </xf>
    <xf numFmtId="0" fontId="1" fillId="4" borderId="3" xfId="0" applyFont="1" applyFill="1" applyBorder="1"/>
    <xf numFmtId="0" fontId="1" fillId="4" borderId="2" xfId="0" applyFont="1" applyFill="1" applyBorder="1"/>
    <xf numFmtId="0" fontId="9" fillId="3" borderId="1" xfId="0" applyNumberFormat="1" applyFont="1" applyFill="1" applyBorder="1" applyAlignment="1">
      <alignment horizontal="center" vertical="center"/>
    </xf>
    <xf numFmtId="0" fontId="24" fillId="0" borderId="1" xfId="0" applyFont="1" applyBorder="1" applyAlignment="1">
      <alignment horizontal="center" vertical="center"/>
    </xf>
    <xf numFmtId="0" fontId="24" fillId="3" borderId="1" xfId="0" applyNumberFormat="1" applyFont="1" applyFill="1" applyBorder="1" applyAlignment="1">
      <alignment horizontal="center" vertical="center"/>
    </xf>
    <xf numFmtId="0" fontId="13" fillId="7" borderId="1"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2" xfId="0" applyFont="1" applyFill="1" applyBorder="1" applyAlignment="1">
      <alignment horizontal="center" vertical="center" wrapText="1"/>
    </xf>
    <xf numFmtId="2" fontId="25" fillId="0" borderId="1" xfId="0" applyNumberFormat="1" applyFont="1" applyBorder="1" applyAlignment="1">
      <alignment horizontal="center" vertical="center"/>
    </xf>
    <xf numFmtId="0" fontId="1" fillId="11" borderId="1" xfId="0" applyNumberFormat="1" applyFont="1" applyFill="1" applyBorder="1" applyAlignment="1">
      <alignment horizontal="center" vertical="center"/>
    </xf>
    <xf numFmtId="0" fontId="1" fillId="7" borderId="0" xfId="0" applyFont="1" applyFill="1" applyAlignment="1">
      <alignment horizontal="right" vertical="center"/>
    </xf>
    <xf numFmtId="165" fontId="1" fillId="0" borderId="0" xfId="0" applyNumberFormat="1" applyFont="1" applyAlignment="1">
      <alignment vertical="center"/>
    </xf>
    <xf numFmtId="2" fontId="6" fillId="7" borderId="0" xfId="0" applyNumberFormat="1" applyFont="1" applyFill="1" applyBorder="1" applyAlignment="1">
      <alignment horizontal="center"/>
    </xf>
    <xf numFmtId="0" fontId="1" fillId="2" borderId="0" xfId="0" applyFont="1" applyFill="1" applyBorder="1" applyAlignment="1">
      <alignment horizontal="right"/>
    </xf>
    <xf numFmtId="0" fontId="1" fillId="4" borderId="0" xfId="0" applyFont="1" applyFill="1" applyBorder="1" applyAlignment="1">
      <alignment horizontal="right"/>
    </xf>
    <xf numFmtId="0" fontId="1" fillId="5" borderId="0" xfId="0" applyFont="1" applyFill="1" applyAlignment="1">
      <alignment horizontal="right"/>
    </xf>
    <xf numFmtId="2" fontId="1" fillId="0" borderId="0" xfId="0" applyNumberFormat="1" applyFont="1" applyFill="1" applyBorder="1" applyAlignment="1">
      <alignment horizontal="center"/>
    </xf>
    <xf numFmtId="0" fontId="26" fillId="0" borderId="0" xfId="0" applyFont="1" applyFill="1" applyBorder="1"/>
    <xf numFmtId="0" fontId="1" fillId="7" borderId="0" xfId="0" applyFont="1" applyFill="1" applyAlignment="1">
      <alignment horizontal="right"/>
    </xf>
    <xf numFmtId="0" fontId="1" fillId="7" borderId="0" xfId="0" applyFont="1" applyFill="1" applyBorder="1" applyAlignment="1">
      <alignment horizontal="right"/>
    </xf>
    <xf numFmtId="0" fontId="1" fillId="0" borderId="0" xfId="0" applyFont="1" applyFill="1" applyAlignment="1">
      <alignment horizontal="right"/>
    </xf>
    <xf numFmtId="0" fontId="1" fillId="0" borderId="0" xfId="0" applyFont="1" applyFill="1" applyBorder="1" applyAlignment="1">
      <alignment horizontal="left"/>
    </xf>
    <xf numFmtId="0" fontId="1" fillId="0" borderId="0" xfId="0" applyFont="1" applyFill="1" applyBorder="1" applyAlignment="1">
      <alignment horizontal="right"/>
    </xf>
    <xf numFmtId="0" fontId="27" fillId="0" borderId="1" xfId="0" applyFont="1" applyFill="1" applyBorder="1" applyAlignment="1">
      <alignment horizontal="center"/>
    </xf>
    <xf numFmtId="0" fontId="1" fillId="4" borderId="0" xfId="0" applyFont="1" applyFill="1" applyAlignment="1">
      <alignment horizontal="right"/>
    </xf>
    <xf numFmtId="1" fontId="28" fillId="4" borderId="0" xfId="0" applyNumberFormat="1" applyFont="1" applyFill="1" applyBorder="1" applyAlignment="1">
      <alignment horizontal="left"/>
    </xf>
    <xf numFmtId="0" fontId="7" fillId="12" borderId="12" xfId="0" applyFont="1" applyFill="1" applyBorder="1" applyAlignment="1">
      <alignment horizontal="center"/>
    </xf>
    <xf numFmtId="0" fontId="7" fillId="12" borderId="11" xfId="0" applyFont="1" applyFill="1" applyBorder="1" applyAlignment="1">
      <alignment horizontal="center"/>
    </xf>
    <xf numFmtId="164" fontId="24" fillId="0" borderId="2" xfId="0" applyNumberFormat="1" applyFont="1" applyFill="1" applyBorder="1" applyAlignment="1">
      <alignment horizontal="left"/>
    </xf>
    <xf numFmtId="0" fontId="7" fillId="3" borderId="11" xfId="0" applyFont="1" applyFill="1" applyBorder="1" applyAlignment="1">
      <alignment horizontal="center" vertical="center" wrapText="1"/>
    </xf>
    <xf numFmtId="2" fontId="29" fillId="0" borderId="1" xfId="0" applyNumberFormat="1" applyFont="1" applyFill="1" applyBorder="1" applyAlignment="1">
      <alignment horizontal="center" vertical="center"/>
    </xf>
    <xf numFmtId="0" fontId="1" fillId="3" borderId="1" xfId="0" applyFont="1" applyFill="1" applyBorder="1" applyAlignment="1">
      <alignment horizontal="center"/>
    </xf>
    <xf numFmtId="164" fontId="4" fillId="3" borderId="1" xfId="0" applyNumberFormat="1" applyFont="1" applyFill="1" applyBorder="1" applyAlignment="1">
      <alignment horizontal="center"/>
    </xf>
    <xf numFmtId="164" fontId="11" fillId="3" borderId="1" xfId="0" applyNumberFormat="1" applyFont="1" applyFill="1" applyBorder="1" applyAlignment="1">
      <alignment horizontal="center"/>
    </xf>
    <xf numFmtId="164" fontId="13" fillId="3" borderId="2" xfId="0" applyNumberFormat="1" applyFont="1" applyFill="1" applyBorder="1" applyAlignment="1">
      <alignment horizontal="center"/>
    </xf>
    <xf numFmtId="0" fontId="1" fillId="12" borderId="5" xfId="0" applyFont="1" applyFill="1" applyBorder="1"/>
    <xf numFmtId="0" fontId="1" fillId="12" borderId="13" xfId="0" applyFont="1" applyFill="1" applyBorder="1"/>
    <xf numFmtId="0" fontId="1" fillId="12" borderId="6" xfId="0" applyFont="1" applyFill="1" applyBorder="1"/>
    <xf numFmtId="0" fontId="1" fillId="12" borderId="9" xfId="0" applyFont="1" applyFill="1" applyBorder="1"/>
    <xf numFmtId="0" fontId="1" fillId="12" borderId="14" xfId="0" applyFont="1" applyFill="1" applyBorder="1"/>
    <xf numFmtId="0" fontId="1" fillId="12" borderId="10" xfId="0" applyFont="1" applyFill="1" applyBorder="1"/>
    <xf numFmtId="0" fontId="13" fillId="2" borderId="0" xfId="0" applyFont="1" applyFill="1" applyBorder="1"/>
    <xf numFmtId="0" fontId="1" fillId="13" borderId="0" xfId="0" applyFont="1" applyFill="1" applyAlignment="1">
      <alignment horizontal="center"/>
    </xf>
    <xf numFmtId="0" fontId="33" fillId="3" borderId="1" xfId="0" applyNumberFormat="1" applyFont="1" applyFill="1" applyBorder="1" applyAlignment="1">
      <alignment horizontal="center"/>
    </xf>
    <xf numFmtId="0" fontId="35" fillId="0" borderId="5" xfId="0" applyFont="1" applyFill="1" applyBorder="1"/>
    <xf numFmtId="0" fontId="1" fillId="7" borderId="14" xfId="0" applyFont="1" applyFill="1" applyBorder="1"/>
    <xf numFmtId="164" fontId="1" fillId="7" borderId="14" xfId="0" applyNumberFormat="1" applyFont="1" applyFill="1" applyBorder="1"/>
    <xf numFmtId="0" fontId="1" fillId="7" borderId="8" xfId="0" applyFont="1" applyFill="1" applyBorder="1"/>
    <xf numFmtId="0" fontId="4" fillId="3" borderId="15" xfId="0" applyFont="1" applyFill="1" applyBorder="1" applyAlignment="1">
      <alignment horizontal="right"/>
    </xf>
    <xf numFmtId="0" fontId="1" fillId="7" borderId="8" xfId="0" applyFont="1" applyFill="1" applyBorder="1" applyAlignment="1">
      <alignment vertical="center"/>
    </xf>
    <xf numFmtId="166" fontId="1" fillId="0" borderId="0" xfId="0" applyNumberFormat="1" applyFont="1" applyBorder="1"/>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xf>
    <xf numFmtId="0" fontId="1" fillId="0" borderId="0" xfId="0" applyFont="1" applyBorder="1" applyAlignment="1">
      <alignment horizontal="left" vertical="center"/>
    </xf>
    <xf numFmtId="0" fontId="1" fillId="0" borderId="8" xfId="0" applyFont="1" applyBorder="1" applyAlignment="1">
      <alignment horizontal="left" vertical="center"/>
    </xf>
    <xf numFmtId="0" fontId="1" fillId="3" borderId="15" xfId="0" applyFont="1" applyFill="1" applyBorder="1" applyAlignment="1">
      <alignment horizontal="left"/>
    </xf>
    <xf numFmtId="0" fontId="1" fillId="3" borderId="2" xfId="0" applyFont="1" applyFill="1" applyBorder="1" applyAlignment="1">
      <alignment horizontal="left"/>
    </xf>
    <xf numFmtId="0" fontId="2" fillId="3" borderId="1" xfId="0" applyFont="1" applyFill="1" applyBorder="1" applyAlignment="1">
      <alignment horizontal="center"/>
    </xf>
    <xf numFmtId="0" fontId="13" fillId="3" borderId="5" xfId="0" applyFont="1" applyFill="1" applyBorder="1" applyAlignment="1">
      <alignment horizontal="center" wrapText="1"/>
    </xf>
    <xf numFmtId="0" fontId="13" fillId="3" borderId="6" xfId="0" applyFont="1" applyFill="1" applyBorder="1" applyAlignment="1">
      <alignment horizontal="center" wrapText="1"/>
    </xf>
    <xf numFmtId="0" fontId="13" fillId="3" borderId="9" xfId="0" applyFont="1" applyFill="1" applyBorder="1" applyAlignment="1">
      <alignment horizontal="center" wrapText="1"/>
    </xf>
    <xf numFmtId="0" fontId="13" fillId="3" borderId="10" xfId="0" applyFont="1" applyFill="1" applyBorder="1" applyAlignment="1">
      <alignment horizontal="center" wrapText="1"/>
    </xf>
    <xf numFmtId="0" fontId="7" fillId="3" borderId="12" xfId="0" applyFont="1" applyFill="1" applyBorder="1" applyAlignment="1">
      <alignment horizontal="center" wrapText="1"/>
    </xf>
    <xf numFmtId="0" fontId="7" fillId="3" borderId="4" xfId="0" applyFont="1" applyFill="1" applyBorder="1" applyAlignment="1">
      <alignment horizontal="center" wrapText="1"/>
    </xf>
    <xf numFmtId="2" fontId="7" fillId="3" borderId="12" xfId="0" applyNumberFormat="1" applyFont="1" applyFill="1" applyBorder="1" applyAlignment="1">
      <alignment horizontal="center" wrapText="1"/>
    </xf>
    <xf numFmtId="2" fontId="7" fillId="3" borderId="4" xfId="0" applyNumberFormat="1" applyFont="1" applyFill="1" applyBorder="1" applyAlignment="1">
      <alignment horizontal="center" wrapText="1"/>
    </xf>
    <xf numFmtId="0" fontId="7" fillId="3" borderId="11" xfId="0" applyFont="1" applyFill="1" applyBorder="1" applyAlignment="1">
      <alignment horizontal="center" wrapText="1"/>
    </xf>
    <xf numFmtId="2" fontId="7" fillId="3" borderId="1" xfId="0" applyNumberFormat="1" applyFont="1" applyFill="1" applyBorder="1" applyAlignment="1">
      <alignment horizontal="center" wrapText="1"/>
    </xf>
    <xf numFmtId="2" fontId="7" fillId="3" borderId="11" xfId="0" applyNumberFormat="1" applyFont="1" applyFill="1" applyBorder="1" applyAlignment="1">
      <alignment horizontal="center" wrapText="1"/>
    </xf>
    <xf numFmtId="0" fontId="1" fillId="3" borderId="1" xfId="0" applyFont="1" applyFill="1" applyBorder="1" applyAlignment="1">
      <alignment horizontal="center"/>
    </xf>
    <xf numFmtId="0" fontId="13" fillId="14" borderId="14" xfId="0" applyFont="1" applyFill="1" applyBorder="1" applyAlignment="1">
      <alignment horizontal="left"/>
    </xf>
    <xf numFmtId="0" fontId="2" fillId="3" borderId="1" xfId="0" applyFont="1" applyFill="1" applyBorder="1" applyAlignment="1">
      <alignment horizontal="center" wrapText="1"/>
    </xf>
    <xf numFmtId="164" fontId="8" fillId="0" borderId="12" xfId="0" applyNumberFormat="1" applyFont="1" applyFill="1" applyBorder="1" applyAlignment="1">
      <alignment horizontal="center" wrapText="1"/>
    </xf>
    <xf numFmtId="164" fontId="8" fillId="0" borderId="4" xfId="0" applyNumberFormat="1" applyFont="1" applyFill="1" applyBorder="1" applyAlignment="1">
      <alignment horizontal="center" wrapText="1"/>
    </xf>
    <xf numFmtId="164" fontId="8" fillId="0" borderId="11" xfId="0" applyNumberFormat="1" applyFont="1" applyFill="1" applyBorder="1" applyAlignment="1">
      <alignment horizontal="center" wrapText="1"/>
    </xf>
    <xf numFmtId="0" fontId="1" fillId="3" borderId="12" xfId="0" applyFont="1" applyFill="1" applyBorder="1" applyAlignment="1">
      <alignment horizontal="center" wrapText="1"/>
    </xf>
    <xf numFmtId="0" fontId="1" fillId="3" borderId="11" xfId="0" applyFont="1" applyFill="1" applyBorder="1" applyAlignment="1">
      <alignment horizontal="center" wrapText="1"/>
    </xf>
    <xf numFmtId="0" fontId="7" fillId="3" borderId="1" xfId="0" applyFont="1" applyFill="1" applyBorder="1" applyAlignment="1">
      <alignment horizontal="center" wrapText="1"/>
    </xf>
    <xf numFmtId="0" fontId="0" fillId="3" borderId="1" xfId="0" applyFill="1" applyBorder="1" applyAlignment="1">
      <alignment horizontal="center" wrapText="1"/>
    </xf>
    <xf numFmtId="2" fontId="7" fillId="3" borderId="6" xfId="0" applyNumberFormat="1" applyFont="1" applyFill="1" applyBorder="1" applyAlignment="1">
      <alignment horizontal="center" wrapText="1"/>
    </xf>
    <xf numFmtId="2" fontId="7" fillId="3" borderId="8" xfId="0" applyNumberFormat="1" applyFont="1" applyFill="1" applyBorder="1" applyAlignment="1">
      <alignment horizontal="center" wrapText="1"/>
    </xf>
    <xf numFmtId="2" fontId="7" fillId="3" borderId="10" xfId="0" applyNumberFormat="1" applyFont="1" applyFill="1" applyBorder="1" applyAlignment="1">
      <alignment horizontal="center" wrapText="1"/>
    </xf>
    <xf numFmtId="0" fontId="7" fillId="3" borderId="8" xfId="0" applyFont="1" applyFill="1" applyBorder="1" applyAlignment="1">
      <alignment horizontal="center" wrapText="1"/>
    </xf>
    <xf numFmtId="0" fontId="2" fillId="3" borderId="2" xfId="0" applyFont="1" applyFill="1" applyBorder="1" applyAlignment="1">
      <alignment horizontal="center" wrapText="1"/>
    </xf>
    <xf numFmtId="0" fontId="7" fillId="3" borderId="5" xfId="0" applyFont="1" applyFill="1" applyBorder="1" applyAlignment="1">
      <alignment horizontal="right" vertical="top" wrapText="1"/>
    </xf>
    <xf numFmtId="0" fontId="7" fillId="3" borderId="6" xfId="0" applyFont="1" applyFill="1" applyBorder="1" applyAlignment="1">
      <alignment horizontal="right" vertical="top" wrapText="1"/>
    </xf>
    <xf numFmtId="0" fontId="7" fillId="3" borderId="9" xfId="0" applyFont="1" applyFill="1" applyBorder="1" applyAlignment="1">
      <alignment horizontal="right" vertical="top" wrapText="1"/>
    </xf>
    <xf numFmtId="0" fontId="7" fillId="3" borderId="10" xfId="0" applyFont="1" applyFill="1" applyBorder="1" applyAlignment="1">
      <alignment horizontal="right" vertical="top" wrapText="1"/>
    </xf>
    <xf numFmtId="0" fontId="13" fillId="3" borderId="5" xfId="0" applyFont="1" applyFill="1" applyBorder="1" applyAlignment="1">
      <alignment horizontal="right" vertical="top" wrapText="1"/>
    </xf>
    <xf numFmtId="0" fontId="13" fillId="3" borderId="6" xfId="0" applyFont="1" applyFill="1" applyBorder="1" applyAlignment="1">
      <alignment horizontal="right" vertical="top" wrapText="1"/>
    </xf>
    <xf numFmtId="0" fontId="13" fillId="3" borderId="9" xfId="0" applyFont="1" applyFill="1" applyBorder="1" applyAlignment="1">
      <alignment horizontal="right" vertical="top" wrapText="1"/>
    </xf>
    <xf numFmtId="0" fontId="13" fillId="3" borderId="10" xfId="0" applyFont="1" applyFill="1" applyBorder="1" applyAlignment="1">
      <alignment horizontal="right" vertical="top" wrapText="1"/>
    </xf>
    <xf numFmtId="0" fontId="1" fillId="0" borderId="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13" fillId="7" borderId="1"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24" fillId="3" borderId="3" xfId="0" applyNumberFormat="1" applyFont="1" applyFill="1" applyBorder="1" applyAlignment="1">
      <alignment horizontal="center" vertical="center"/>
    </xf>
    <xf numFmtId="0" fontId="24" fillId="3" borderId="2" xfId="0" applyNumberFormat="1" applyFont="1" applyFill="1" applyBorder="1" applyAlignment="1">
      <alignment horizontal="center" vertical="center"/>
    </xf>
    <xf numFmtId="0" fontId="9" fillId="3" borderId="3" xfId="0" applyNumberFormat="1" applyFont="1" applyFill="1" applyBorder="1" applyAlignment="1">
      <alignment horizontal="center" vertical="center"/>
    </xf>
    <xf numFmtId="0" fontId="9" fillId="3" borderId="2" xfId="0" applyNumberFormat="1" applyFont="1" applyFill="1" applyBorder="1" applyAlignment="1">
      <alignment horizontal="center" vertical="center"/>
    </xf>
    <xf numFmtId="0" fontId="13" fillId="7" borderId="12"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7" fillId="3" borderId="3" xfId="0" applyFont="1" applyFill="1" applyBorder="1" applyAlignment="1">
      <alignment horizontal="right" vertical="center" wrapText="1"/>
    </xf>
    <xf numFmtId="0" fontId="7" fillId="3" borderId="15" xfId="0" applyFont="1" applyFill="1" applyBorder="1" applyAlignment="1">
      <alignment horizontal="right" vertical="center" wrapText="1"/>
    </xf>
    <xf numFmtId="0" fontId="7" fillId="3" borderId="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3" fillId="7" borderId="5" xfId="0" applyFont="1" applyFill="1" applyBorder="1" applyAlignment="1">
      <alignment horizontal="center" vertical="center"/>
    </xf>
    <xf numFmtId="0" fontId="13" fillId="7" borderId="13" xfId="0" applyFont="1" applyFill="1" applyBorder="1" applyAlignment="1">
      <alignment horizontal="center" vertical="center"/>
    </xf>
    <xf numFmtId="0" fontId="13" fillId="7" borderId="6" xfId="0" applyFont="1" applyFill="1" applyBorder="1" applyAlignment="1">
      <alignment horizontal="center" vertical="center"/>
    </xf>
    <xf numFmtId="0" fontId="17" fillId="7" borderId="0" xfId="0" applyFont="1" applyFill="1" applyAlignment="1">
      <alignment horizontal="center" vertical="top" wrapText="1"/>
    </xf>
    <xf numFmtId="0" fontId="36" fillId="0" borderId="3"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13" fillId="7" borderId="5"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164" fontId="8" fillId="0" borderId="6" xfId="0" applyNumberFormat="1" applyFont="1" applyFill="1" applyBorder="1" applyAlignment="1">
      <alignment horizontal="center" wrapText="1"/>
    </xf>
    <xf numFmtId="0" fontId="7" fillId="3" borderId="3" xfId="0" applyFont="1" applyFill="1" applyBorder="1" applyAlignment="1">
      <alignment horizontal="center" wrapText="1"/>
    </xf>
    <xf numFmtId="0" fontId="7" fillId="3" borderId="2" xfId="0" applyFont="1" applyFill="1" applyBorder="1" applyAlignment="1">
      <alignment horizontal="center" wrapText="1"/>
    </xf>
    <xf numFmtId="0" fontId="8" fillId="0" borderId="4" xfId="0" applyFont="1" applyFill="1" applyBorder="1" applyAlignment="1">
      <alignment horizontal="center" vertical="center" wrapText="1"/>
    </xf>
    <xf numFmtId="0" fontId="10" fillId="0" borderId="11" xfId="0" applyFont="1" applyFill="1" applyBorder="1" applyAlignment="1">
      <alignment horizontal="center" vertical="center" wrapText="1"/>
    </xf>
    <xf numFmtId="164" fontId="10" fillId="0" borderId="1" xfId="0" applyNumberFormat="1" applyFont="1" applyFill="1" applyBorder="1" applyAlignment="1">
      <alignment horizontal="left"/>
    </xf>
    <xf numFmtId="164" fontId="10" fillId="0" borderId="3" xfId="0" applyNumberFormat="1" applyFont="1" applyFill="1" applyBorder="1" applyAlignment="1">
      <alignment horizontal="left"/>
    </xf>
    <xf numFmtId="164" fontId="10" fillId="0" borderId="15" xfId="0" applyNumberFormat="1" applyFont="1" applyFill="1" applyBorder="1" applyAlignment="1">
      <alignment horizontal="left"/>
    </xf>
    <xf numFmtId="164" fontId="10" fillId="0" borderId="2" xfId="0" applyNumberFormat="1" applyFont="1" applyFill="1" applyBorder="1" applyAlignment="1">
      <alignment horizontal="left"/>
    </xf>
    <xf numFmtId="0" fontId="2" fillId="3" borderId="2" xfId="0" applyFont="1" applyFill="1" applyBorder="1" applyAlignment="1">
      <alignment horizontal="center"/>
    </xf>
    <xf numFmtId="0" fontId="13" fillId="3" borderId="1" xfId="0" applyFont="1" applyFill="1" applyBorder="1" applyAlignment="1">
      <alignment horizontal="right" wrapText="1"/>
    </xf>
    <xf numFmtId="0" fontId="31" fillId="0" borderId="0" xfId="0" applyFont="1" applyFill="1" applyAlignment="1">
      <alignment horizontal="left" vertical="center" wrapText="1"/>
    </xf>
    <xf numFmtId="0" fontId="1" fillId="0" borderId="0" xfId="0" applyFont="1" applyFill="1" applyBorder="1" applyAlignment="1">
      <alignment horizontal="left"/>
    </xf>
    <xf numFmtId="0" fontId="1" fillId="12" borderId="5" xfId="0" applyFont="1" applyFill="1" applyBorder="1" applyAlignment="1">
      <alignment horizontal="left" vertical="top" wrapText="1"/>
    </xf>
    <xf numFmtId="0" fontId="1" fillId="12" borderId="13" xfId="0" applyFont="1" applyFill="1" applyBorder="1" applyAlignment="1">
      <alignment horizontal="left" vertical="top" wrapText="1"/>
    </xf>
    <xf numFmtId="0" fontId="1" fillId="12" borderId="6" xfId="0" applyFont="1" applyFill="1" applyBorder="1" applyAlignment="1">
      <alignment horizontal="left" vertical="top" wrapText="1"/>
    </xf>
    <xf numFmtId="0" fontId="1" fillId="12" borderId="7" xfId="0" applyFont="1" applyFill="1" applyBorder="1" applyAlignment="1">
      <alignment horizontal="left" vertical="top" wrapText="1"/>
    </xf>
    <xf numFmtId="0" fontId="1" fillId="12" borderId="0" xfId="0" applyFont="1" applyFill="1" applyBorder="1" applyAlignment="1">
      <alignment horizontal="left" vertical="top" wrapText="1"/>
    </xf>
    <xf numFmtId="0" fontId="1" fillId="12" borderId="8" xfId="0" applyFont="1" applyFill="1" applyBorder="1" applyAlignment="1">
      <alignment horizontal="left" vertical="top" wrapText="1"/>
    </xf>
    <xf numFmtId="0" fontId="1" fillId="12" borderId="9" xfId="0" applyFont="1" applyFill="1" applyBorder="1" applyAlignment="1">
      <alignment horizontal="left" vertical="top" wrapText="1"/>
    </xf>
    <xf numFmtId="0" fontId="1" fillId="12" borderId="14" xfId="0" applyFont="1" applyFill="1" applyBorder="1" applyAlignment="1">
      <alignment horizontal="left" vertical="top" wrapText="1"/>
    </xf>
    <xf numFmtId="0" fontId="1" fillId="12" borderId="10" xfId="0" applyFont="1" applyFill="1" applyBorder="1" applyAlignment="1">
      <alignment horizontal="left" vertical="top" wrapText="1"/>
    </xf>
    <xf numFmtId="0" fontId="13" fillId="3" borderId="13" xfId="0" applyFont="1" applyFill="1" applyBorder="1" applyAlignment="1">
      <alignment horizontal="center" wrapText="1"/>
    </xf>
    <xf numFmtId="0" fontId="13" fillId="3" borderId="14" xfId="0" applyFont="1" applyFill="1" applyBorder="1" applyAlignment="1">
      <alignment horizontal="center" wrapText="1"/>
    </xf>
    <xf numFmtId="0" fontId="1" fillId="3" borderId="12" xfId="0" applyFont="1" applyFill="1" applyBorder="1" applyAlignment="1">
      <alignment horizontal="right" wrapText="1"/>
    </xf>
    <xf numFmtId="0" fontId="1" fillId="3" borderId="11" xfId="0" applyFont="1" applyFill="1" applyBorder="1" applyAlignment="1">
      <alignment horizontal="right" wrapText="1"/>
    </xf>
    <xf numFmtId="0" fontId="13" fillId="7" borderId="9" xfId="0" applyFont="1" applyFill="1" applyBorder="1" applyAlignment="1">
      <alignment horizontal="center"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cellXfs>
  <cellStyles count="1">
    <cellStyle name="Normal" xfId="0" builtinId="0"/>
  </cellStyles>
  <dxfs count="0"/>
  <tableStyles count="0" defaultTableStyle="TableStyleMedium9" defaultPivotStyle="PivotStyleLight16"/>
  <colors>
    <mruColors>
      <color rgb="FF0000FF"/>
      <color rgb="FF993366"/>
      <color rgb="FFFFE0C1"/>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61"/>
  <sheetViews>
    <sheetView tabSelected="1" zoomScaleNormal="100" workbookViewId="0"/>
  </sheetViews>
  <sheetFormatPr defaultColWidth="11.42578125" defaultRowHeight="12.75" x14ac:dyDescent="0.2"/>
  <cols>
    <col min="1" max="1" width="2.42578125" style="10" customWidth="1"/>
    <col min="2" max="2" width="9.85546875" style="10" customWidth="1"/>
    <col min="3" max="3" width="10.42578125" style="10" customWidth="1"/>
    <col min="4" max="4" width="10.85546875" style="10" customWidth="1"/>
    <col min="5" max="5" width="12.7109375" style="10" customWidth="1"/>
    <col min="6" max="6" width="12.42578125" style="10" customWidth="1"/>
    <col min="7" max="7" width="10.42578125" style="10" customWidth="1"/>
    <col min="8" max="8" width="9.85546875" style="10" customWidth="1"/>
    <col min="9" max="9" width="9.85546875" style="13" customWidth="1"/>
    <col min="10" max="10" width="8.28515625" style="10" customWidth="1"/>
    <col min="11" max="11" width="8" style="10" customWidth="1"/>
    <col min="12" max="12" width="1.140625" style="10" customWidth="1"/>
    <col min="13" max="13" width="10.140625" style="10" customWidth="1"/>
    <col min="14" max="14" width="7.42578125" style="10" customWidth="1"/>
    <col min="15" max="15" width="7.140625" style="10" customWidth="1"/>
    <col min="16" max="16" width="10.42578125" style="10" customWidth="1"/>
    <col min="17" max="17" width="8.28515625" style="10" customWidth="1"/>
    <col min="18" max="18" width="8.42578125" style="10" customWidth="1"/>
    <col min="19" max="19" width="10.7109375" style="10" customWidth="1"/>
    <col min="20" max="20" width="10" style="7" customWidth="1"/>
    <col min="21" max="21" width="9.42578125" style="10" customWidth="1"/>
    <col min="22" max="22" width="4.85546875" style="10" customWidth="1"/>
    <col min="23" max="23" width="8.85546875" style="10" customWidth="1"/>
    <col min="24" max="24" width="11" style="10" customWidth="1"/>
    <col min="25" max="27" width="10.140625" style="10" customWidth="1"/>
    <col min="28" max="28" width="2.42578125" style="7" customWidth="1"/>
    <col min="29" max="29" width="2.85546875" style="10" customWidth="1"/>
    <col min="30" max="30" width="8.28515625" style="11" customWidth="1"/>
    <col min="31" max="32" width="14.5703125" style="179" customWidth="1"/>
    <col min="33" max="33" width="8" style="11" customWidth="1"/>
    <col min="34" max="34" width="6.5703125" style="11" customWidth="1"/>
    <col min="35" max="35" width="7.42578125" style="11" customWidth="1"/>
    <col min="36" max="36" width="7.28515625" style="11" customWidth="1"/>
    <col min="37" max="37" width="6.42578125" style="11" customWidth="1"/>
    <col min="38" max="38" width="4.5703125" style="11" customWidth="1"/>
    <col min="39" max="39" width="5.85546875" style="11" customWidth="1"/>
    <col min="40" max="40" width="5.42578125" style="11" customWidth="1"/>
    <col min="41" max="41" width="5.42578125" style="10" customWidth="1"/>
    <col min="42" max="42" width="6.42578125" style="10" customWidth="1"/>
    <col min="43" max="43" width="5.5703125" style="10" customWidth="1"/>
    <col min="44" max="44" width="1.42578125" style="10" customWidth="1"/>
    <col min="45" max="45" width="7.42578125" style="10" customWidth="1"/>
    <col min="46" max="46" width="7" style="10" customWidth="1"/>
    <col min="47" max="47" width="6.42578125" style="10" customWidth="1"/>
    <col min="48" max="16384" width="11.42578125" style="10"/>
  </cols>
  <sheetData>
    <row r="1" spans="1:40" x14ac:dyDescent="0.2">
      <c r="A1" s="134"/>
      <c r="B1" s="134"/>
      <c r="C1" s="134"/>
      <c r="D1" s="134"/>
      <c r="E1" s="134"/>
      <c r="F1" s="134"/>
      <c r="G1" s="134"/>
      <c r="H1" s="134"/>
      <c r="I1" s="284"/>
      <c r="J1" s="283"/>
      <c r="K1" s="134"/>
      <c r="L1" s="134"/>
      <c r="M1" s="283"/>
      <c r="N1" s="134"/>
      <c r="O1" s="134"/>
      <c r="P1" s="134"/>
      <c r="Q1" s="134"/>
      <c r="R1" s="134"/>
      <c r="S1" s="134"/>
      <c r="T1" s="134"/>
      <c r="U1" s="134"/>
      <c r="V1" s="134"/>
      <c r="W1" s="134"/>
      <c r="X1" s="134"/>
      <c r="Y1" s="134"/>
      <c r="Z1" s="134"/>
      <c r="AA1" s="134"/>
      <c r="AB1" s="134"/>
      <c r="AC1" s="134"/>
      <c r="AE1" s="10"/>
      <c r="AF1" s="10"/>
      <c r="AG1" s="10"/>
    </row>
    <row r="2" spans="1:40" s="9" customFormat="1" ht="15" x14ac:dyDescent="0.25">
      <c r="A2" s="73"/>
      <c r="B2" s="282" t="s">
        <v>127</v>
      </c>
      <c r="C2" s="201"/>
      <c r="D2" s="201"/>
      <c r="E2" s="201"/>
      <c r="F2" s="201"/>
      <c r="G2" s="201"/>
      <c r="H2" s="202"/>
      <c r="I2" s="260" t="s">
        <v>84</v>
      </c>
      <c r="J2" s="8">
        <v>2020</v>
      </c>
      <c r="K2" s="201">
        <v>2016</v>
      </c>
      <c r="L2" s="201"/>
      <c r="M2" s="8">
        <v>2013</v>
      </c>
      <c r="N2" s="203"/>
      <c r="O2" s="73"/>
      <c r="P2" s="273" t="s">
        <v>137</v>
      </c>
      <c r="Q2" s="274"/>
      <c r="R2" s="274"/>
      <c r="S2" s="274"/>
      <c r="T2" s="274"/>
      <c r="U2" s="274"/>
      <c r="V2" s="274"/>
      <c r="W2" s="274"/>
      <c r="X2" s="274"/>
      <c r="Y2" s="274"/>
      <c r="Z2" s="274"/>
      <c r="AA2" s="275"/>
      <c r="AB2" s="73"/>
      <c r="AC2" s="73"/>
    </row>
    <row r="3" spans="1:40" s="9" customFormat="1" x14ac:dyDescent="0.2">
      <c r="A3" s="285"/>
      <c r="B3" s="377" t="s">
        <v>120</v>
      </c>
      <c r="C3" s="377"/>
      <c r="D3" s="377"/>
      <c r="E3" s="8"/>
      <c r="F3" s="8"/>
      <c r="G3" s="8"/>
      <c r="I3" s="8"/>
      <c r="J3" s="8">
        <v>2017</v>
      </c>
      <c r="K3" s="8">
        <v>2015</v>
      </c>
      <c r="L3" s="8"/>
      <c r="M3" s="8">
        <v>2012</v>
      </c>
      <c r="N3" s="204"/>
      <c r="O3" s="73"/>
      <c r="P3" s="276" t="s">
        <v>130</v>
      </c>
      <c r="Q3" s="277"/>
      <c r="R3" s="277"/>
      <c r="S3" s="277"/>
      <c r="T3" s="277"/>
      <c r="U3" s="277"/>
      <c r="V3" s="277"/>
      <c r="W3" s="277"/>
      <c r="X3" s="277"/>
      <c r="Y3" s="277"/>
      <c r="Z3" s="277"/>
      <c r="AA3" s="278"/>
      <c r="AB3" s="73"/>
      <c r="AC3" s="73"/>
    </row>
    <row r="4" spans="1:40" s="9" customFormat="1" x14ac:dyDescent="0.2">
      <c r="A4" s="73"/>
      <c r="B4" s="139" t="s">
        <v>129</v>
      </c>
      <c r="C4" s="8"/>
      <c r="D4" s="8"/>
      <c r="E4" s="8"/>
      <c r="F4" s="8"/>
      <c r="G4" s="8"/>
      <c r="K4" s="8">
        <v>2014</v>
      </c>
      <c r="L4" s="8"/>
      <c r="M4" s="8" t="s">
        <v>83</v>
      </c>
      <c r="N4" s="204"/>
      <c r="O4" s="73"/>
      <c r="P4" s="73"/>
      <c r="Q4" s="73"/>
      <c r="R4" s="73"/>
      <c r="S4" s="73"/>
      <c r="T4" s="73"/>
      <c r="U4" s="73"/>
      <c r="V4" s="73"/>
      <c r="W4" s="73"/>
      <c r="X4" s="73"/>
      <c r="Y4" s="73"/>
      <c r="Z4" s="73"/>
      <c r="AA4" s="73"/>
      <c r="AB4" s="73"/>
      <c r="AC4" s="73"/>
    </row>
    <row r="5" spans="1:40" s="4" customFormat="1" ht="15.95" customHeight="1" x14ac:dyDescent="0.2">
      <c r="A5" s="118"/>
      <c r="B5" s="137" t="s">
        <v>131</v>
      </c>
      <c r="C5" s="5"/>
      <c r="D5" s="5"/>
      <c r="E5" s="5"/>
      <c r="F5" s="5"/>
      <c r="G5" s="5"/>
      <c r="H5" s="5"/>
      <c r="I5" s="5"/>
      <c r="J5" s="5"/>
      <c r="L5" s="5"/>
      <c r="M5" s="5"/>
      <c r="N5" s="205"/>
      <c r="O5" s="119"/>
      <c r="P5" s="378" t="s">
        <v>123</v>
      </c>
      <c r="Q5" s="379"/>
      <c r="R5" s="379"/>
      <c r="S5" s="379"/>
      <c r="T5" s="379"/>
      <c r="U5" s="379"/>
      <c r="V5" s="379"/>
      <c r="W5" s="379"/>
      <c r="X5" s="379"/>
      <c r="Y5" s="379"/>
      <c r="Z5" s="379"/>
      <c r="AA5" s="380"/>
      <c r="AB5" s="119"/>
      <c r="AC5" s="119"/>
      <c r="AD5" s="6"/>
      <c r="AH5" s="163"/>
      <c r="AI5" s="163"/>
      <c r="AJ5" s="163"/>
      <c r="AK5" s="163"/>
      <c r="AL5" s="163"/>
      <c r="AM5" s="163"/>
      <c r="AN5" s="163"/>
    </row>
    <row r="6" spans="1:40" s="4" customFormat="1" ht="29.45" customHeight="1" x14ac:dyDescent="0.2">
      <c r="A6" s="118"/>
      <c r="B6" s="289" t="s">
        <v>132</v>
      </c>
      <c r="C6" s="290"/>
      <c r="D6" s="290"/>
      <c r="E6" s="290"/>
      <c r="F6" s="290"/>
      <c r="G6" s="290"/>
      <c r="H6" s="290"/>
      <c r="I6" s="290"/>
      <c r="J6" s="290"/>
      <c r="K6" s="290"/>
      <c r="L6" s="290"/>
      <c r="M6" s="290"/>
      <c r="N6" s="291"/>
      <c r="O6" s="119"/>
      <c r="P6" s="381"/>
      <c r="Q6" s="382"/>
      <c r="R6" s="382"/>
      <c r="S6" s="382"/>
      <c r="T6" s="382"/>
      <c r="U6" s="382"/>
      <c r="V6" s="382"/>
      <c r="W6" s="382"/>
      <c r="X6" s="382"/>
      <c r="Y6" s="382"/>
      <c r="Z6" s="382"/>
      <c r="AA6" s="383"/>
      <c r="AB6" s="119"/>
      <c r="AC6" s="119"/>
      <c r="AD6" s="6"/>
      <c r="AH6" s="163"/>
      <c r="AI6" s="163"/>
      <c r="AJ6" s="163"/>
      <c r="AK6" s="163"/>
      <c r="AL6" s="163"/>
      <c r="AM6" s="163"/>
      <c r="AN6" s="163"/>
    </row>
    <row r="7" spans="1:40" s="4" customFormat="1" ht="42.95" customHeight="1" x14ac:dyDescent="0.2">
      <c r="A7" s="118"/>
      <c r="B7" s="289" t="s">
        <v>133</v>
      </c>
      <c r="C7" s="290"/>
      <c r="D7" s="290"/>
      <c r="E7" s="290"/>
      <c r="F7" s="290"/>
      <c r="G7" s="290"/>
      <c r="H7" s="290"/>
      <c r="I7" s="290"/>
      <c r="J7" s="290"/>
      <c r="K7" s="290"/>
      <c r="L7" s="290"/>
      <c r="M7" s="290"/>
      <c r="N7" s="291"/>
      <c r="O7" s="119"/>
      <c r="P7" s="381"/>
      <c r="Q7" s="382"/>
      <c r="R7" s="382"/>
      <c r="S7" s="382"/>
      <c r="T7" s="382"/>
      <c r="U7" s="382"/>
      <c r="V7" s="382"/>
      <c r="W7" s="382"/>
      <c r="X7" s="382"/>
      <c r="Y7" s="382"/>
      <c r="Z7" s="382"/>
      <c r="AA7" s="383"/>
      <c r="AB7" s="119"/>
      <c r="AC7" s="119"/>
      <c r="AD7" s="6"/>
      <c r="AH7" s="163"/>
      <c r="AI7" s="163"/>
      <c r="AJ7" s="163"/>
      <c r="AK7" s="163"/>
      <c r="AL7" s="163"/>
      <c r="AM7" s="163"/>
      <c r="AN7" s="163"/>
    </row>
    <row r="8" spans="1:40" s="4" customFormat="1" ht="14.45" customHeight="1" x14ac:dyDescent="0.2">
      <c r="A8" s="118"/>
      <c r="B8" s="289" t="s">
        <v>126</v>
      </c>
      <c r="C8" s="290"/>
      <c r="D8" s="290"/>
      <c r="E8" s="290"/>
      <c r="F8" s="290"/>
      <c r="G8" s="290"/>
      <c r="H8" s="290"/>
      <c r="I8" s="290"/>
      <c r="J8" s="290"/>
      <c r="K8" s="290"/>
      <c r="L8" s="290"/>
      <c r="M8" s="290"/>
      <c r="N8" s="291"/>
      <c r="O8" s="119"/>
      <c r="P8" s="381"/>
      <c r="Q8" s="382"/>
      <c r="R8" s="382"/>
      <c r="S8" s="382"/>
      <c r="T8" s="382"/>
      <c r="U8" s="382"/>
      <c r="V8" s="382"/>
      <c r="W8" s="382"/>
      <c r="X8" s="382"/>
      <c r="Y8" s="382"/>
      <c r="Z8" s="382"/>
      <c r="AA8" s="383"/>
      <c r="AB8" s="119"/>
      <c r="AC8" s="119"/>
      <c r="AD8" s="6"/>
      <c r="AE8" s="249"/>
      <c r="AH8" s="163"/>
      <c r="AI8" s="163"/>
      <c r="AJ8" s="163"/>
      <c r="AK8" s="163"/>
      <c r="AL8" s="163"/>
      <c r="AM8" s="163"/>
      <c r="AN8" s="163"/>
    </row>
    <row r="9" spans="1:40" s="4" customFormat="1" ht="30" customHeight="1" x14ac:dyDescent="0.2">
      <c r="A9" s="118"/>
      <c r="B9" s="289"/>
      <c r="C9" s="290"/>
      <c r="D9" s="290"/>
      <c r="E9" s="290"/>
      <c r="F9" s="290"/>
      <c r="G9" s="290"/>
      <c r="H9" s="290"/>
      <c r="I9" s="290"/>
      <c r="J9" s="290"/>
      <c r="K9" s="290"/>
      <c r="L9" s="290"/>
      <c r="M9" s="290"/>
      <c r="N9" s="291"/>
      <c r="O9" s="119"/>
      <c r="P9" s="381"/>
      <c r="Q9" s="382"/>
      <c r="R9" s="382"/>
      <c r="S9" s="382"/>
      <c r="T9" s="382"/>
      <c r="U9" s="382"/>
      <c r="V9" s="382"/>
      <c r="W9" s="382"/>
      <c r="X9" s="382"/>
      <c r="Y9" s="382"/>
      <c r="Z9" s="382"/>
      <c r="AA9" s="383"/>
      <c r="AB9" s="119"/>
      <c r="AC9" s="119"/>
      <c r="AD9" s="6"/>
      <c r="AE9" s="249"/>
      <c r="AH9" s="163"/>
      <c r="AI9" s="163"/>
      <c r="AJ9" s="163"/>
      <c r="AK9" s="163"/>
      <c r="AL9" s="163"/>
      <c r="AM9" s="163"/>
      <c r="AN9" s="163"/>
    </row>
    <row r="10" spans="1:40" s="4" customFormat="1" ht="43.5" customHeight="1" x14ac:dyDescent="0.2">
      <c r="A10" s="118"/>
      <c r="B10" s="289" t="s">
        <v>135</v>
      </c>
      <c r="C10" s="392"/>
      <c r="D10" s="392"/>
      <c r="E10" s="392"/>
      <c r="F10" s="392"/>
      <c r="G10" s="392"/>
      <c r="H10" s="392"/>
      <c r="I10" s="392"/>
      <c r="J10" s="392"/>
      <c r="K10" s="392"/>
      <c r="L10" s="392"/>
      <c r="M10" s="392"/>
      <c r="N10" s="393"/>
      <c r="O10" s="119"/>
      <c r="P10" s="381"/>
      <c r="Q10" s="382"/>
      <c r="R10" s="382"/>
      <c r="S10" s="382"/>
      <c r="T10" s="382"/>
      <c r="U10" s="382"/>
      <c r="V10" s="382"/>
      <c r="W10" s="382"/>
      <c r="X10" s="382"/>
      <c r="Y10" s="382"/>
      <c r="Z10" s="382"/>
      <c r="AA10" s="383"/>
      <c r="AB10" s="119"/>
      <c r="AC10" s="119"/>
      <c r="AD10" s="6"/>
      <c r="AH10" s="163"/>
      <c r="AI10" s="163"/>
      <c r="AJ10" s="163"/>
      <c r="AK10" s="163"/>
      <c r="AL10" s="163"/>
      <c r="AM10" s="163"/>
      <c r="AN10" s="163"/>
    </row>
    <row r="11" spans="1:40" s="6" customFormat="1" ht="67.5" customHeight="1" x14ac:dyDescent="0.2">
      <c r="A11" s="119"/>
      <c r="B11" s="332" t="s">
        <v>143</v>
      </c>
      <c r="C11" s="333"/>
      <c r="D11" s="333"/>
      <c r="E11" s="333"/>
      <c r="F11" s="333"/>
      <c r="G11" s="333"/>
      <c r="H11" s="333"/>
      <c r="I11" s="333"/>
      <c r="J11" s="333"/>
      <c r="K11" s="333"/>
      <c r="L11" s="333"/>
      <c r="M11" s="333"/>
      <c r="N11" s="334"/>
      <c r="O11" s="119"/>
      <c r="P11" s="384"/>
      <c r="Q11" s="385"/>
      <c r="R11" s="385"/>
      <c r="S11" s="385"/>
      <c r="T11" s="385"/>
      <c r="U11" s="385"/>
      <c r="V11" s="385"/>
      <c r="W11" s="385"/>
      <c r="X11" s="385"/>
      <c r="Y11" s="385"/>
      <c r="Z11" s="385"/>
      <c r="AA11" s="386"/>
      <c r="AB11" s="119"/>
      <c r="AC11" s="119"/>
    </row>
    <row r="12" spans="1:40" s="4" customFormat="1" ht="16.899999999999999" customHeight="1" x14ac:dyDescent="0.2">
      <c r="A12" s="287"/>
      <c r="B12" s="292" t="s">
        <v>144</v>
      </c>
      <c r="C12" s="293"/>
      <c r="D12" s="293"/>
      <c r="E12" s="293"/>
      <c r="F12" s="293"/>
      <c r="G12" s="293"/>
      <c r="H12" s="293"/>
      <c r="I12" s="293"/>
      <c r="J12" s="293"/>
      <c r="K12" s="293"/>
      <c r="L12" s="293"/>
      <c r="M12" s="293"/>
      <c r="N12" s="294"/>
      <c r="O12" s="119"/>
      <c r="P12" s="342" t="s">
        <v>118</v>
      </c>
      <c r="Q12" s="359" t="s">
        <v>6</v>
      </c>
      <c r="R12" s="360"/>
      <c r="S12" s="352" t="s">
        <v>124</v>
      </c>
      <c r="T12" s="353"/>
      <c r="U12" s="353"/>
      <c r="V12" s="353"/>
      <c r="W12" s="354"/>
      <c r="X12" s="342" t="s">
        <v>141</v>
      </c>
      <c r="Y12" s="342" t="s">
        <v>85</v>
      </c>
      <c r="Z12" s="342" t="s">
        <v>86</v>
      </c>
      <c r="AA12" s="335" t="s">
        <v>87</v>
      </c>
      <c r="AB12" s="119"/>
      <c r="AC12" s="119"/>
      <c r="AD12" s="6"/>
      <c r="AH12" s="163"/>
      <c r="AI12" s="163"/>
      <c r="AJ12" s="163"/>
      <c r="AK12" s="163"/>
      <c r="AL12" s="163"/>
      <c r="AM12" s="163"/>
      <c r="AN12" s="163"/>
    </row>
    <row r="13" spans="1:40" s="4" customFormat="1" ht="16.899999999999999" customHeight="1" x14ac:dyDescent="0.2">
      <c r="A13" s="118"/>
      <c r="B13" s="137" t="s">
        <v>134</v>
      </c>
      <c r="C13" s="5"/>
      <c r="D13" s="5"/>
      <c r="E13" s="5"/>
      <c r="F13" s="5"/>
      <c r="G13" s="5"/>
      <c r="H13" s="5"/>
      <c r="I13" s="5"/>
      <c r="J13" s="5"/>
      <c r="K13" s="5"/>
      <c r="L13" s="5"/>
      <c r="M13" s="5"/>
      <c r="N13" s="205"/>
      <c r="O13" s="119"/>
      <c r="P13" s="343"/>
      <c r="Q13" s="243" t="s">
        <v>88</v>
      </c>
      <c r="R13" s="243" t="s">
        <v>89</v>
      </c>
      <c r="S13" s="244" t="s">
        <v>90</v>
      </c>
      <c r="T13" s="243" t="s">
        <v>91</v>
      </c>
      <c r="U13" s="336" t="s">
        <v>92</v>
      </c>
      <c r="V13" s="337"/>
      <c r="W13" s="245" t="s">
        <v>93</v>
      </c>
      <c r="X13" s="343"/>
      <c r="Y13" s="391"/>
      <c r="Z13" s="343"/>
      <c r="AA13" s="335"/>
      <c r="AB13" s="119"/>
      <c r="AC13" s="119"/>
      <c r="AD13" s="6"/>
      <c r="AH13" s="163"/>
      <c r="AI13" s="163"/>
      <c r="AJ13" s="163"/>
      <c r="AK13" s="163"/>
      <c r="AL13" s="163"/>
      <c r="AM13" s="163"/>
      <c r="AN13" s="163"/>
    </row>
    <row r="14" spans="1:40" s="4" customFormat="1" ht="16.5" customHeight="1" x14ac:dyDescent="0.2">
      <c r="A14" s="118"/>
      <c r="B14" s="206" t="s">
        <v>142</v>
      </c>
      <c r="C14" s="138"/>
      <c r="D14" s="138"/>
      <c r="E14" s="138"/>
      <c r="F14" s="138"/>
      <c r="G14" s="138"/>
      <c r="H14" s="138"/>
      <c r="I14" s="138"/>
      <c r="J14" s="138"/>
      <c r="K14" s="138"/>
      <c r="L14" s="138"/>
      <c r="M14" s="138"/>
      <c r="N14" s="207"/>
      <c r="O14" s="118"/>
      <c r="P14" s="240">
        <v>1.5</v>
      </c>
      <c r="Q14" s="240">
        <v>10</v>
      </c>
      <c r="R14" s="240"/>
      <c r="S14" s="241">
        <v>0.54</v>
      </c>
      <c r="T14" s="242"/>
      <c r="U14" s="338"/>
      <c r="V14" s="339"/>
      <c r="W14" s="240"/>
      <c r="X14" s="240"/>
      <c r="Y14" s="247">
        <f>IF(Q14*R14=0,Q14+R14-1,Q14+R14-2)</f>
        <v>9</v>
      </c>
      <c r="Z14" s="268">
        <f>IF(ISNUMBER(S14),ABS(P14)/TINV(S14,Y14),IF(ISNUMBER(W14),W14,ABS(U14-T14)/2)/TINV(1-X14/100,Y14))</f>
        <v>2.3548613401400229</v>
      </c>
      <c r="AA14" s="246">
        <f>Z14*IF(Q14*R14=0,SQRT(Q14+R14),SQRT(Q14*R14/(Q14+R14)))/SQRT(2)</f>
        <v>5.2656300341393454</v>
      </c>
      <c r="AB14" s="118"/>
      <c r="AC14" s="118"/>
      <c r="AD14" s="163"/>
      <c r="AH14" s="163"/>
      <c r="AI14" s="163"/>
      <c r="AJ14" s="163"/>
      <c r="AK14" s="163"/>
      <c r="AL14" s="163"/>
      <c r="AM14" s="163"/>
      <c r="AN14" s="163"/>
    </row>
    <row r="15" spans="1:40" s="4" customFormat="1" x14ac:dyDescent="0.2">
      <c r="A15" s="118"/>
      <c r="B15" s="95"/>
      <c r="C15" s="118"/>
      <c r="D15" s="118"/>
      <c r="E15" s="118"/>
      <c r="F15" s="118"/>
      <c r="G15" s="140"/>
      <c r="H15" s="141"/>
      <c r="I15" s="123"/>
      <c r="J15" s="118"/>
      <c r="K15" s="118"/>
      <c r="L15" s="118"/>
      <c r="M15" s="118"/>
      <c r="N15" s="118"/>
      <c r="O15" s="118"/>
      <c r="P15" s="240">
        <v>-4.9000000000000004</v>
      </c>
      <c r="Q15" s="240"/>
      <c r="R15" s="240">
        <v>12</v>
      </c>
      <c r="S15" s="241"/>
      <c r="T15" s="242">
        <v>-3.1</v>
      </c>
      <c r="U15" s="340">
        <v>-7.7</v>
      </c>
      <c r="V15" s="341"/>
      <c r="W15" s="240"/>
      <c r="X15" s="240">
        <v>95</v>
      </c>
      <c r="Y15" s="247">
        <f>IF(Q15*R15=0,Q15+R15-1,Q15+R15-2)</f>
        <v>11</v>
      </c>
      <c r="Z15" s="268">
        <f>IF(ISNUMBER(S15),ABS(P15)/TINV(S15,Y15),IF(ISNUMBER(W15),W15,ABS(U15-T15)/2)/TINV(1-X15/100,Y15))</f>
        <v>1.0449866004113535</v>
      </c>
      <c r="AA15" s="246">
        <f>Z15*IF(Q15*R15=0,SQRT(Q15+R15),SQRT(Q15*R15/(Q15+R15)))/SQRT(2)</f>
        <v>2.5596839590534737</v>
      </c>
      <c r="AB15" s="118"/>
      <c r="AC15" s="118"/>
      <c r="AD15" s="163"/>
      <c r="AE15" s="181"/>
      <c r="AF15" s="182"/>
      <c r="AG15" s="164"/>
      <c r="AH15" s="163"/>
      <c r="AI15" s="163"/>
      <c r="AJ15" s="163"/>
      <c r="AK15" s="163"/>
      <c r="AL15" s="163"/>
      <c r="AM15" s="163"/>
      <c r="AN15" s="163"/>
    </row>
    <row r="16" spans="1:40" s="4" customFormat="1" ht="13.15" customHeight="1" x14ac:dyDescent="0.2">
      <c r="A16" s="118"/>
      <c r="B16" s="118"/>
      <c r="C16" s="355" t="s">
        <v>128</v>
      </c>
      <c r="D16" s="355"/>
      <c r="E16" s="355"/>
      <c r="F16" s="118"/>
      <c r="G16" s="298" t="s">
        <v>122</v>
      </c>
      <c r="H16" s="299"/>
      <c r="I16" s="125"/>
      <c r="J16" s="118"/>
      <c r="K16" s="118"/>
      <c r="L16" s="118"/>
      <c r="M16" s="118"/>
      <c r="N16" s="118"/>
      <c r="O16" s="118"/>
      <c r="P16" s="240">
        <v>176</v>
      </c>
      <c r="Q16" s="240">
        <v>21</v>
      </c>
      <c r="R16" s="240">
        <v>24</v>
      </c>
      <c r="S16" s="241"/>
      <c r="T16" s="242"/>
      <c r="U16" s="338"/>
      <c r="V16" s="339"/>
      <c r="W16" s="240">
        <v>189</v>
      </c>
      <c r="X16" s="240">
        <v>90</v>
      </c>
      <c r="Y16" s="247">
        <f>IF(Q16*R16=0,Q16+R16-1,Q16+R16-2)</f>
        <v>43</v>
      </c>
      <c r="Z16" s="268">
        <f>IF(ISNUMBER(S16),ABS(P16)/TINV(S16,Y16),IF(ISNUMBER(W16),W16,ABS(U16-T16)/2)/TINV(1-X16/100,Y16))</f>
        <v>112.42834679109333</v>
      </c>
      <c r="AA16" s="246">
        <f>Z16*IF(Q16*R16=0,SQRT(Q16+R16),SQRT(Q16*R16/(Q16+R16)))/SQRT(2)</f>
        <v>266.05402779923992</v>
      </c>
      <c r="AB16" s="119"/>
      <c r="AC16" s="119"/>
      <c r="AD16" s="6"/>
      <c r="AE16" s="183"/>
      <c r="AF16" s="184"/>
      <c r="AG16" s="164"/>
      <c r="AH16" s="163"/>
      <c r="AI16" s="163"/>
      <c r="AJ16" s="163"/>
      <c r="AK16" s="163"/>
      <c r="AL16" s="163"/>
      <c r="AM16" s="163"/>
      <c r="AN16" s="163"/>
    </row>
    <row r="17" spans="1:40" s="4" customFormat="1" ht="12.95" customHeight="1" x14ac:dyDescent="0.2">
      <c r="A17" s="118"/>
      <c r="B17" s="122"/>
      <c r="C17" s="355"/>
      <c r="D17" s="355"/>
      <c r="E17" s="355"/>
      <c r="F17" s="118"/>
      <c r="G17" s="300"/>
      <c r="H17" s="301"/>
      <c r="I17" s="125"/>
      <c r="J17" s="118"/>
      <c r="K17" s="118"/>
      <c r="L17" s="118"/>
      <c r="M17" s="118"/>
      <c r="N17" s="118"/>
      <c r="O17" s="248" t="s">
        <v>94</v>
      </c>
      <c r="P17" s="240"/>
      <c r="Q17" s="240"/>
      <c r="R17" s="240"/>
      <c r="S17" s="241"/>
      <c r="T17" s="242"/>
      <c r="U17" s="338"/>
      <c r="V17" s="339"/>
      <c r="W17" s="240"/>
      <c r="X17" s="240"/>
      <c r="Y17" s="247">
        <f>IF(Q17*R17=0,Q17+R17-1,Q17+R17-2)</f>
        <v>-1</v>
      </c>
      <c r="Z17" s="268" t="e">
        <f>IF(ISNUMBER(S17),ABS(P17)/TINV(S17,Y17),IF(ISNUMBER(W17),W17,ABS(U17-T17)/2)/TINV(1-X17/100,Y17))</f>
        <v>#NUM!</v>
      </c>
      <c r="AA17" s="246" t="e">
        <f>Z17*IF(Q17*R17=0,SQRT(Q17+R17),SQRT(Q17*R17/(Q17+R17)))/SQRT(2)</f>
        <v>#NUM!</v>
      </c>
      <c r="AB17" s="119"/>
      <c r="AC17" s="119"/>
      <c r="AD17" s="6"/>
      <c r="AE17" s="183"/>
      <c r="AF17" s="184"/>
      <c r="AG17" s="163"/>
      <c r="AH17" s="163"/>
      <c r="AI17" s="163"/>
      <c r="AJ17" s="163"/>
      <c r="AK17" s="163"/>
      <c r="AL17" s="163"/>
      <c r="AM17" s="163"/>
      <c r="AN17" s="163"/>
    </row>
    <row r="18" spans="1:40" s="4" customFormat="1" ht="13.15" customHeight="1" x14ac:dyDescent="0.2">
      <c r="A18" s="118"/>
      <c r="B18" s="122"/>
      <c r="C18" s="355"/>
      <c r="D18" s="355"/>
      <c r="E18" s="355"/>
      <c r="F18" s="118"/>
      <c r="G18" s="74" t="s">
        <v>7</v>
      </c>
      <c r="H18" s="74" t="s">
        <v>8</v>
      </c>
      <c r="I18" s="125"/>
      <c r="J18" s="118"/>
      <c r="K18" s="118"/>
      <c r="L18" s="118"/>
      <c r="M18" s="118"/>
      <c r="N18" s="118"/>
      <c r="O18" s="118"/>
      <c r="P18" s="118"/>
      <c r="Q18" s="118"/>
      <c r="R18" s="118"/>
      <c r="S18" s="118"/>
      <c r="T18" s="119"/>
      <c r="U18" s="118"/>
      <c r="V18" s="118"/>
      <c r="W18" s="158"/>
      <c r="X18" s="118"/>
      <c r="Y18" s="118"/>
      <c r="Z18" s="118"/>
      <c r="AA18" s="118"/>
      <c r="AB18" s="119"/>
      <c r="AC18" s="119"/>
      <c r="AD18" s="6"/>
      <c r="AE18" s="183"/>
      <c r="AF18" s="184"/>
      <c r="AG18" s="163"/>
      <c r="AH18" s="163"/>
      <c r="AI18" s="163"/>
      <c r="AJ18" s="163"/>
      <c r="AK18" s="163"/>
      <c r="AL18" s="163"/>
      <c r="AM18" s="163"/>
      <c r="AN18" s="163"/>
    </row>
    <row r="19" spans="1:40" s="7" customFormat="1" ht="13.5" customHeight="1" x14ac:dyDescent="0.2">
      <c r="A19" s="73"/>
      <c r="B19" s="356" t="s">
        <v>138</v>
      </c>
      <c r="C19" s="357"/>
      <c r="D19" s="357"/>
      <c r="E19" s="358"/>
      <c r="F19" s="124"/>
      <c r="G19" s="128">
        <v>0.5</v>
      </c>
      <c r="H19" s="128">
        <v>25</v>
      </c>
      <c r="I19" s="123"/>
      <c r="J19" s="118"/>
      <c r="K19" s="127"/>
      <c r="L19" s="127"/>
      <c r="M19" s="127"/>
      <c r="N19" s="131">
        <v>90</v>
      </c>
      <c r="O19" s="295" t="s">
        <v>125</v>
      </c>
      <c r="P19" s="296"/>
      <c r="Q19" s="127"/>
      <c r="R19" s="73"/>
      <c r="S19" s="73"/>
      <c r="T19" s="73"/>
      <c r="U19" s="155"/>
      <c r="V19" s="155"/>
      <c r="W19" s="154"/>
      <c r="X19" s="154"/>
      <c r="Y19" s="154"/>
      <c r="Z19" s="154"/>
      <c r="AA19" s="154"/>
      <c r="AB19" s="73"/>
      <c r="AC19" s="73"/>
      <c r="AD19" s="9"/>
      <c r="AE19" s="185"/>
      <c r="AF19" s="169"/>
      <c r="AG19" s="165"/>
      <c r="AH19" s="12"/>
      <c r="AI19" s="9"/>
      <c r="AJ19" s="9"/>
      <c r="AK19" s="9"/>
      <c r="AL19" s="9"/>
      <c r="AM19" s="9"/>
      <c r="AN19" s="9"/>
    </row>
    <row r="20" spans="1:40" s="7" customFormat="1" ht="23.45" customHeight="1" x14ac:dyDescent="0.2">
      <c r="A20" s="73"/>
      <c r="B20" s="73"/>
      <c r="C20" s="123"/>
      <c r="D20" s="123"/>
      <c r="E20" s="73"/>
      <c r="F20" s="124"/>
      <c r="G20" s="23" t="str">
        <f>IF(G19&lt;=0.1,"negligible",IF(G19&lt;=0.5,"most unlikely",IF(G19&lt;=5,"very unlikely",IF(G19&lt;=25,"unlikely",IF(G19&lt;=50,"possible","not computed")))))</f>
        <v>most unlikely</v>
      </c>
      <c r="H20" s="23" t="str">
        <f>IF(H19&lt;0.505,"most unlikely",IF(H19&lt;5.01,"very unlikely",IF(H19&lt;25.1,"unlikely",IF(H19&lt;75,"possible",IF(H19&lt;95,"likely",IF(H19&lt;99.5,"very likely","most likely"))))))</f>
        <v>unlikely</v>
      </c>
      <c r="I20" s="162"/>
      <c r="J20" s="127"/>
      <c r="K20" s="127"/>
      <c r="L20" s="127"/>
      <c r="M20" s="127"/>
      <c r="N20" s="129"/>
      <c r="O20" s="130"/>
      <c r="P20" s="130"/>
      <c r="Q20" s="127"/>
      <c r="R20" s="73"/>
      <c r="S20" s="73"/>
      <c r="T20" s="73"/>
      <c r="U20" s="124"/>
      <c r="V20" s="250"/>
      <c r="W20" s="124"/>
      <c r="X20" s="124"/>
      <c r="Y20" s="196"/>
      <c r="Z20" s="124"/>
      <c r="AA20" s="196"/>
      <c r="AB20" s="73"/>
      <c r="AC20" s="73"/>
      <c r="AD20" s="9"/>
      <c r="AE20" s="181"/>
      <c r="AF20" s="254"/>
      <c r="AG20" s="166"/>
      <c r="AH20" s="12"/>
      <c r="AI20" s="9"/>
      <c r="AJ20" s="9"/>
      <c r="AK20" s="9"/>
      <c r="AL20" s="9"/>
      <c r="AM20" s="9"/>
      <c r="AN20" s="9"/>
    </row>
    <row r="21" spans="1:40" ht="12.95" customHeight="1" x14ac:dyDescent="0.2">
      <c r="A21" s="134"/>
      <c r="B21" s="14" t="s">
        <v>73</v>
      </c>
      <c r="C21" s="15"/>
      <c r="D21" s="15"/>
      <c r="E21" s="15"/>
      <c r="F21" s="15"/>
      <c r="G21" s="15"/>
      <c r="H21" s="15"/>
      <c r="I21" s="15"/>
      <c r="J21" s="15"/>
      <c r="K21" s="3"/>
      <c r="L21" s="3"/>
      <c r="M21" s="3" t="s">
        <v>37</v>
      </c>
      <c r="N21" s="3"/>
      <c r="O21" s="3"/>
      <c r="P21" s="3"/>
      <c r="Q21" s="3"/>
      <c r="R21" s="3"/>
      <c r="S21" s="3"/>
      <c r="T21" s="3"/>
      <c r="U21" s="16"/>
      <c r="V21" s="16"/>
      <c r="W21" s="15"/>
      <c r="X21" s="16"/>
      <c r="Y21" s="16"/>
      <c r="Z21" s="16"/>
      <c r="AA21" s="16"/>
      <c r="AB21" s="3"/>
      <c r="AC21" s="134"/>
      <c r="AE21" s="186"/>
      <c r="AF21" s="186"/>
      <c r="AG21" s="170"/>
      <c r="AK21" s="9"/>
      <c r="AL21" s="9"/>
    </row>
    <row r="22" spans="1:40" ht="12.95" customHeight="1" x14ac:dyDescent="0.2">
      <c r="A22" s="134"/>
      <c r="B22" s="279"/>
      <c r="C22" s="15"/>
      <c r="D22" s="15"/>
      <c r="E22" s="15"/>
      <c r="F22" s="15"/>
      <c r="G22" s="15"/>
      <c r="H22" s="15"/>
      <c r="I22" s="16"/>
      <c r="J22" s="15"/>
      <c r="K22" s="15"/>
      <c r="L22" s="3"/>
      <c r="M22" s="3"/>
      <c r="N22" s="3"/>
      <c r="O22" s="3"/>
      <c r="P22" s="3"/>
      <c r="Q22" s="3"/>
      <c r="R22" s="3"/>
      <c r="S22" s="3"/>
      <c r="T22" s="3"/>
      <c r="U22" s="3"/>
      <c r="V22" s="16"/>
      <c r="W22" s="15"/>
      <c r="X22" s="344" t="s">
        <v>97</v>
      </c>
      <c r="Y22" s="345"/>
      <c r="Z22" s="345"/>
      <c r="AA22" s="266">
        <v>0</v>
      </c>
      <c r="AB22" s="1"/>
      <c r="AC22" s="73"/>
      <c r="AD22" s="9"/>
      <c r="AE22" s="361" t="s">
        <v>49</v>
      </c>
      <c r="AF22" s="362"/>
      <c r="AG22" s="167"/>
      <c r="AH22" s="9"/>
    </row>
    <row r="23" spans="1:40" ht="12.95" customHeight="1" x14ac:dyDescent="0.2">
      <c r="A23" s="134"/>
      <c r="B23" s="304" t="s">
        <v>0</v>
      </c>
      <c r="C23" s="304" t="s">
        <v>1</v>
      </c>
      <c r="D23" s="307" t="s">
        <v>2</v>
      </c>
      <c r="E23" s="304" t="s">
        <v>139</v>
      </c>
      <c r="F23" s="15"/>
      <c r="G23" s="298" t="s">
        <v>38</v>
      </c>
      <c r="H23" s="299"/>
      <c r="I23" s="311" t="s">
        <v>6</v>
      </c>
      <c r="J23" s="15"/>
      <c r="K23" s="3"/>
      <c r="L23" s="3"/>
      <c r="M23" s="302" t="s">
        <v>81</v>
      </c>
      <c r="N23" s="3"/>
      <c r="O23" s="3"/>
      <c r="P23" s="3"/>
      <c r="Q23" s="302" t="s">
        <v>4</v>
      </c>
      <c r="R23" s="302" t="s">
        <v>5</v>
      </c>
      <c r="S23" s="3"/>
      <c r="T23" s="1"/>
      <c r="U23" s="3"/>
      <c r="V23" s="16"/>
      <c r="W23" s="15"/>
      <c r="X23" s="346" t="s">
        <v>136</v>
      </c>
      <c r="Y23" s="347"/>
      <c r="Z23" s="347"/>
      <c r="AA23" s="348"/>
      <c r="AB23" s="1"/>
      <c r="AC23" s="73"/>
      <c r="AD23" s="9"/>
      <c r="AE23" s="363"/>
      <c r="AF23" s="364"/>
      <c r="AG23" s="365" t="s">
        <v>3</v>
      </c>
      <c r="AH23" s="9"/>
    </row>
    <row r="24" spans="1:40" s="7" customFormat="1" ht="12.95" customHeight="1" x14ac:dyDescent="0.2">
      <c r="A24" s="73"/>
      <c r="B24" s="305"/>
      <c r="C24" s="305"/>
      <c r="D24" s="307"/>
      <c r="E24" s="305"/>
      <c r="F24" s="15"/>
      <c r="G24" s="300"/>
      <c r="H24" s="301"/>
      <c r="I24" s="311"/>
      <c r="J24" s="17"/>
      <c r="K24" s="2"/>
      <c r="L24" s="2"/>
      <c r="M24" s="306"/>
      <c r="N24" s="286">
        <f>$N$19</f>
        <v>90</v>
      </c>
      <c r="O24" s="295" t="s">
        <v>125</v>
      </c>
      <c r="P24" s="296"/>
      <c r="Q24" s="322"/>
      <c r="R24" s="303"/>
      <c r="S24" s="366" t="s">
        <v>39</v>
      </c>
      <c r="T24" s="367"/>
      <c r="U24" s="264" t="s">
        <v>95</v>
      </c>
      <c r="V24" s="16"/>
      <c r="W24" s="15"/>
      <c r="X24" s="349"/>
      <c r="Y24" s="350"/>
      <c r="Z24" s="350"/>
      <c r="AA24" s="351"/>
      <c r="AB24" s="2"/>
      <c r="AC24" s="127"/>
      <c r="AD24" s="8"/>
      <c r="AE24" s="368" t="s">
        <v>47</v>
      </c>
      <c r="AF24" s="368" t="s">
        <v>48</v>
      </c>
      <c r="AG24" s="313"/>
      <c r="AH24" s="12"/>
      <c r="AI24" s="9"/>
      <c r="AJ24" s="9"/>
      <c r="AK24" s="9"/>
      <c r="AL24" s="9"/>
      <c r="AM24" s="12"/>
      <c r="AN24" s="9"/>
    </row>
    <row r="25" spans="1:40" s="7" customFormat="1" ht="12.95" customHeight="1" x14ac:dyDescent="0.2">
      <c r="A25" s="73"/>
      <c r="B25" s="308"/>
      <c r="C25" s="308"/>
      <c r="D25" s="307"/>
      <c r="E25" s="308"/>
      <c r="F25" s="15"/>
      <c r="G25" s="74" t="s">
        <v>7</v>
      </c>
      <c r="H25" s="62" t="s">
        <v>8</v>
      </c>
      <c r="I25" s="237"/>
      <c r="J25" s="17"/>
      <c r="K25" s="2"/>
      <c r="L25" s="2"/>
      <c r="M25" s="237"/>
      <c r="N25" s="132" t="s">
        <v>9</v>
      </c>
      <c r="O25" s="120" t="s">
        <v>10</v>
      </c>
      <c r="P25" s="153" t="s">
        <v>11</v>
      </c>
      <c r="Q25" s="306"/>
      <c r="R25" s="306"/>
      <c r="S25" s="29" t="s">
        <v>12</v>
      </c>
      <c r="T25" s="29" t="s">
        <v>13</v>
      </c>
      <c r="U25" s="265" t="s">
        <v>96</v>
      </c>
      <c r="V25" s="16"/>
      <c r="W25" s="15"/>
      <c r="X25" s="267" t="s">
        <v>98</v>
      </c>
      <c r="Y25" s="267" t="s">
        <v>99</v>
      </c>
      <c r="Z25" s="267" t="s">
        <v>100</v>
      </c>
      <c r="AA25" s="267" t="s">
        <v>101</v>
      </c>
      <c r="AB25" s="2"/>
      <c r="AC25" s="127"/>
      <c r="AD25" s="8"/>
      <c r="AE25" s="369"/>
      <c r="AF25" s="369"/>
      <c r="AG25" s="314"/>
      <c r="AH25" s="197" t="s">
        <v>14</v>
      </c>
      <c r="AI25" s="198"/>
      <c r="AJ25" s="198"/>
      <c r="AK25" s="198"/>
      <c r="AL25" s="198"/>
      <c r="AM25" s="198"/>
      <c r="AN25" s="9"/>
    </row>
    <row r="26" spans="1:40" s="7" customFormat="1" ht="13.5" customHeight="1" x14ac:dyDescent="0.2">
      <c r="A26" s="73"/>
      <c r="B26" s="208">
        <v>-1</v>
      </c>
      <c r="C26" s="121">
        <f>-B26</f>
        <v>1</v>
      </c>
      <c r="D26" s="209">
        <v>1</v>
      </c>
      <c r="E26" s="208">
        <v>10</v>
      </c>
      <c r="F26" s="15"/>
      <c r="G26" s="281">
        <f>$G$19</f>
        <v>0.5</v>
      </c>
      <c r="H26" s="121">
        <f>$H$19</f>
        <v>25</v>
      </c>
      <c r="I26" s="25">
        <f>IF(ISBLANK(I25),AN26,I25)</f>
        <v>8.8203583541148998</v>
      </c>
      <c r="J26" s="18"/>
      <c r="K26" s="18"/>
      <c r="L26" s="18"/>
      <c r="M26" s="20">
        <f>IF(ISBLANK(M25),IF(OR(ISBLANK(I25),AND(G26=H26,I25&gt;AN26)),(C26*TINV(2*G26/100,I26-1)+B26*IF(H26&gt;50,-TINV(2-2*H26/100,I26-1),TINV(2*H26/100,I26-1)))/(TINV(2*G26/100,I26-1)+IF(H26&gt;50,-TINV(2-2*H26/100,I26-1),TINV(2*H26/100,I26-1))),-SIGN(B26)*IF(I25&lt;AN26,-ABS(B26)-SQRT(AG26/I26)*_xlfn.T.INV(G26/100,I26-1),ABS(C26)-SQRT(AG26/I26)*_xlfn.T.INV(1-H26/100,I26-1))),M25)</f>
        <v>0.66221557828499988</v>
      </c>
      <c r="N26" s="28">
        <f>M26-SQRT(AG26/I26)*TINV(1-N24/100,I26-1)</f>
        <v>-0.23768815151716116</v>
      </c>
      <c r="O26" s="28">
        <f>M26+SQRT(AG26/I26)*TINV(1-N24/100,I26-1)</f>
        <v>1.5621193080871609</v>
      </c>
      <c r="P26" s="28">
        <f>(O26-N26)/2</f>
        <v>0.89990372980216105</v>
      </c>
      <c r="Q26" s="20">
        <f>B26</f>
        <v>-1</v>
      </c>
      <c r="R26" s="20">
        <f>C26</f>
        <v>1</v>
      </c>
      <c r="S26" s="191">
        <f>IF(ISERROR(TDIST(IF(R26&gt;Q26,1,-1)*(M26-Q26)/SQRT(AG26/I26),I26-1,1)),1-TDIST(-IF(R26&gt;Q26,1,-1)*(M26-Q26)/SQRT(AG26/I26),I26-1,1),TDIST(IF(R26&gt;Q26,1,-1)*(M26-Q26)/SQRT(AG26/I26),I26-1,1))*100</f>
        <v>0.49999999999999978</v>
      </c>
      <c r="T26" s="24">
        <f>IF(ISERROR(TDIST(IF(R26&gt;Q26,1,-1)*(R26-M26)/SQRT(AG26/I26),I26-1,1)),1-TDIST(-IF(R26&gt;Q26,1,-1)*(R26-M26)/SQRT(AG26/I26),I26-1,1),TDIST(IF(R26&gt;Q26,1,-1)*(R26-M26)/SQRT(AG26/I26),I26-1,1))*100</f>
        <v>25.000000000000018</v>
      </c>
      <c r="U26" s="24">
        <f>(T26/(100-T26))/(S26/(100-S26))</f>
        <v>66.333333333333428</v>
      </c>
      <c r="V26" s="16"/>
      <c r="W26" s="15"/>
      <c r="X26" s="191">
        <f>IF(-ABS(B26)-SQRT(AG26/I26)*_xlfn.T.INV(G26/100,I26-1)&gt;ABS(C26)-SQRT(AG26/I26)*_xlfn.T.INV(1-25/100,I26-1),100*_xlfn.T.DIST.RT(((-ABS(B26)-SQRT(AG26/I26)*_xlfn.T.INV(G26/100,I26-1))-IF(B26&lt;0,AA22,-AA22))/SQRT(AG26/I26),I26-1),100*_xlfn.T.DIST.RT(((ABS(C26)-SQRT(AG26/I26)*_xlfn.T.INV(1-25/100,I26-1))-IF(B26&lt;0,AA22,-AA22))/SQRT(AG26/I26),I26-1))+(G26=H26)*IF(-ABS(B26)-SQRT(AG26/I26)*_xlfn.T.INV(G26/100,I26-1)&gt;ABS(C26)-SQRT(AG26/I26)*_xlfn.T.INV(1-25/100,I26-1),100*_xlfn.T.DIST.RT((-ABS(B26)-SQRT(AG26/I26)*_xlfn.T.INV(G26/100,I26-1)+IF(B26&lt;0,AA22,-AA22))/SQRT(AG26/I26),I26-1),100*_xlfn.T.DIST.RT((ABS(C26)-SQRT(AG26/I26)*_xlfn.T.INV(1-25/100,I26-1)+IF(B26&lt;0,AA22,-AA22))/SQRT(AG26/I26),I26-1))</f>
        <v>10.295960040936668</v>
      </c>
      <c r="Y26" s="191">
        <f>IF(-ABS(B26)-SQRT(AG26/I26)*_xlfn.T.INV(G26/100,I26-1)&gt;ABS(C26)-SQRT(AG26/I26)*_xlfn.T.INV(1-75/100,I26-1),100*_xlfn.T.DIST.RT(((-ABS(B26)-SQRT(AG26/I26)*_xlfn.T.INV(G26/100,I26-1))-IF(B26&lt;0,AA22,-AA22))/SQRT(AG26/I26),I26-1),100*_xlfn.T.DIST.RT(((ABS(C26)-SQRT(AG26/I26)*_xlfn.T.INV(1-75/100,I26-1))-IF(B26&lt;0,AA22,-AA22))/SQRT(AG26/I26),I26-1))+(G26=H26)*IF(-ABS(B26)-SQRT(AG26/I26)*_xlfn.T.INV(G26/100,I26-1)&gt;ABS(C26)-SQRT(AG26/I26)*_xlfn.T.INV(1-75/100,I26-1),100*_xlfn.T.DIST.RT((-ABS(B26)-SQRT(AG26/I26)*_xlfn.T.INV(G26/100,I26-1)+IF(B26&lt;0,AA22,-AA22))/SQRT(AG26/I26),I26-1),100*_xlfn.T.DIST.RT((ABS(C26)-SQRT(AG26/I26)*_xlfn.T.INV(1-75/100,I26-1)+IF(B26&lt;0,AA22,-AA22))/SQRT(AG26/I26),I26-1))</f>
        <v>1.2952379266846703</v>
      </c>
      <c r="Z26" s="191">
        <f>IF(-ABS(B26)-SQRT(AG26/I26)*_xlfn.T.INV(G26/100,I26-1)&gt;ABS(C26)-SQRT(AG26/I26)*_xlfn.T.INV(1-95/100,I26-1),100*_xlfn.T.DIST.RT(((-ABS(B26)-SQRT(AG26/I26)*_xlfn.T.INV(G26/100,I26-1))-IF(B26&lt;0,AA22,-AA22))/SQRT(AG26/I26),I26-1),100*_xlfn.T.DIST.RT(((ABS(C26)-SQRT(AG26/I26)*_xlfn.T.INV(1-95/100,I26-1))-IF(B26&lt;0,AA22,-AA22))/SQRT(AG26/I26),I26-1))+(G26=H26)*IF(-ABS(B26)-SQRT(AG26/I26)*_xlfn.T.INV(G26/100,I26-1)&gt;ABS(C26)-SQRT(AG26/I26)*_xlfn.T.INV(1-95/100,I26-1),100*_xlfn.T.DIST.RT((-ABS(B26)-SQRT(AG26/I26)*_xlfn.T.INV(G26/100,I26-1)+IF(B26&lt;0,AA22,-AA22))/SQRT(AG26/I26),I26-1),100*_xlfn.T.DIST.RT((ABS(C26)-SQRT(AG26/I26)*_xlfn.T.INV(1-95/100,I26-1)+IF(B26&lt;0,AA22,-AA22))/SQRT(AG26/I26),I26-1))</f>
        <v>0.25953162765044419</v>
      </c>
      <c r="AA26" s="28">
        <f>IF(-ABS(B26)-SQRT(AG26/I26)*_xlfn.T.INV(G26/100,I26-1)&gt;ABS(C26)-SQRT(AG26/I26)*_xlfn.T.INV(1-99.5/100,I26-1),100*_xlfn.T.DIST.RT(((-ABS(B26)-SQRT(AG26/I26)*_xlfn.T.INV(G26/100,I26-1))-IF(B26&lt;0,AA22,-AA22))/SQRT(AG26/I26),I26-1),100*_xlfn.T.DIST.RT(((ABS(C26)-SQRT(AG26/I26)*_xlfn.T.INV(1-99.5/100,I26-1))-IF(B26&lt;0,AA22,-AA22))/SQRT(AG26/I26),I26-1))+(G26=H26)*IF(-ABS(B26)-SQRT(AG26/I26)*_xlfn.T.INV(G26/100,I26-1)&gt;ABS(C26)-SQRT(AG26/I26)*_xlfn.T.INV(1-99.5/100,I26-1),100*_xlfn.T.DIST.RT((-ABS(B26)-SQRT(AG26/I26)*_xlfn.T.INV(G26/100,I26-1)+IF(B26&lt;0,AA22,-AA22))/SQRT(AG26/I26),I26-1),100*_xlfn.T.DIST.RT((ABS(C26)-SQRT(AG26/I26)*_xlfn.T.INV(1-99.5/100,I26-1)+IF(B26&lt;0,AA22,-AA22))/SQRT(AG26/I26),I26-1))</f>
        <v>4.0593376473512001E-2</v>
      </c>
      <c r="AB26" s="18"/>
      <c r="AC26" s="142"/>
      <c r="AD26" s="178"/>
      <c r="AE26" s="171">
        <f>100*_xlfn.T.DIST.RT(-_xlfn.T.INV(1-H26/100,I26-1)+ABS(B26)/(SQRT(AG26/I26)),I26-1)</f>
        <v>10.295960040936663</v>
      </c>
      <c r="AF26" s="171">
        <f>100*_xlfn.T.DIST.RT(-_xlfn.T.INV(G26/100,I26-1)-ABS(B26)/(SQRT(AG26/I26)),I26-1)</f>
        <v>10.295960040936668</v>
      </c>
      <c r="AG26" s="168">
        <f>(2*E26^2-D26^2)/E26^2*D26^2</f>
        <v>1.99</v>
      </c>
      <c r="AH26" s="171">
        <f>AG26*((TINV(G26*2/100,10)+IF(H26&gt;50,-TINV(2-2*H26/100,10),TINV(2*H26/100,10)))/(C26-B26))^2</f>
        <v>7.4474837974668908</v>
      </c>
      <c r="AI26" s="171">
        <f>AG26*((TINV(G26*2/100,IF(AH26-1&lt;4,4,AH26-1))+IF(H26&gt;50,-TINV(2-2*H26/100,IF(AH26-1&lt;4,4,AH26-1)),TINV(2*H26/100,IF(AH26-1&lt;4,4,AH26-1))))/(C26-B26))^2</f>
        <v>9.7413002563619617</v>
      </c>
      <c r="AJ26" s="171">
        <f>AG26*((TINV(G26*2/100,IF((AH26+AI26)/2-1&lt;4,4,(AH26+AI26)/2-1))+IF(H26&gt;50,-TINV(2-2*H26/100,IF((AH26+AI26)/2-1&lt;4,4,(AH26+AI26)/2-1)),TINV(2*H26/100,IF((AH26+AI26)/2-1&lt;4,4,(AH26+AI26)/2-1))))/(C26-B26))^2</f>
        <v>8.8203583541148998</v>
      </c>
      <c r="AK26" s="171">
        <f>AG26*((TINV(G26*2/100,IF((AI26+AJ26)/2-1&lt;4,4,(AI26+AJ26)/2-1))+IF(H26&gt;50,-TINV(2-2*H26/100,IF((AI26+AJ26)/2-1&lt;4,4,(AI26+AJ26)/2-1)),TINV(2*H26/100,IF((AI26+AJ26)/2-1&lt;4,4,(AI26+AJ26)/2-1))))/(C26-B26))^2</f>
        <v>8.2077587670602945</v>
      </c>
      <c r="AL26" s="171">
        <f>AG26*((TINV(G26*2/100,IF((AJ26+AK26)/2-1&lt;4,4,(AJ26+AK26)/2-1))+IF(H26&gt;50,-TINV(2-2*H26/100,IF((AJ26+AK26)/2-1&lt;4,4,(AJ26+AK26)/2-1)),TINV(2*H26/100,IF((AJ26+AK26)/2-1&lt;4,4,(AJ26+AK26)/2-1))))/(C26-B26))^2</f>
        <v>8.8203583541148998</v>
      </c>
      <c r="AM26" s="171">
        <f>AG26*((TINV(G26*2/100,IF((AK26+AL26)/2-1&lt;4,4,(AK26+AL26)/2-1))+IF(H26&gt;50,-TINV(2-2*H26/100,IF((AK26+AL26)/2-1&lt;4,4,(AK26+AL26)/2-1)),TINV(2*H26/100,IF((AK26+AL26)/2-1&lt;4,4,(AK26+AL26)/2-1))))/(C26-B26))^2</f>
        <v>8.8203583541148998</v>
      </c>
      <c r="AN26" s="9">
        <f>AG26*((TINV(G26*2/100,IF(AM26-1&lt;4,4,AM26-1))+IF(H26&gt;50,-TINV(2-2*H26/100,IF(AM26-1&lt;4,4,AM26-1)),TINV(2*H26/100,IF(AM26-1&lt;4,4,AM26-1))))/(C26-B26))^2</f>
        <v>8.8203583541148998</v>
      </c>
    </row>
    <row r="27" spans="1:40" s="7" customFormat="1" ht="12.95" customHeight="1" x14ac:dyDescent="0.2">
      <c r="A27" s="73"/>
      <c r="B27" s="1"/>
      <c r="C27" s="19"/>
      <c r="D27" s="19"/>
      <c r="E27" s="19"/>
      <c r="F27" s="1"/>
      <c r="G27" s="23" t="str">
        <f>IF(G26&lt;=0.1,"negligible",IF(G26&lt;=0.5,"most unlikely",IF(G26&lt;=5,"very unlikely",IF(G26&lt;=25,"unlikely",IF(G26&lt;=50,"possible","not computed")))))</f>
        <v>most unlikely</v>
      </c>
      <c r="H27" s="23" t="str">
        <f>IF(H26&lt;0.505,"most unlikely",IF(H26&lt;5.01,"very unlikely",IF(H26&lt;25.1,"unlikely",IF(H26&lt;75,"possible",IF(H26&lt;95,"likely",IF(H26&lt;99.5,"very likely","most likely"))))))</f>
        <v>unlikely</v>
      </c>
      <c r="I27" s="1"/>
      <c r="J27" s="2"/>
      <c r="K27" s="2"/>
      <c r="L27" s="2"/>
      <c r="M27" s="1"/>
      <c r="N27" s="2"/>
      <c r="O27" s="2"/>
      <c r="P27" s="2"/>
      <c r="Q27" s="2"/>
      <c r="R27" s="2"/>
      <c r="S27" s="23" t="str">
        <f>IF(S26&lt;0.505,"most unlikely",IF(S26&lt;5.01,"very unlikely",IF(S26&lt;25.01,"unlikely",IF(S26&lt;74.99,"possible",IF(S26&lt;94.99,"likely",IF(S26&lt;99.49,"very likely","most likely"))))))</f>
        <v>most unlikely</v>
      </c>
      <c r="T27" s="23" t="str">
        <f>IF(T26&lt;0.505,"most unlikely",IF(T26&lt;5.01,"very unlikely",IF(T26&lt;24.99,"unlikely",IF(T26&lt;74.99,"possible",IF(T26&lt;94.99,"likely",IF(T26&lt;99.49,"very likely","most likely"))))))</f>
        <v>possible</v>
      </c>
      <c r="U27" s="2"/>
      <c r="V27" s="16"/>
      <c r="W27" s="15"/>
      <c r="X27" s="159" t="str">
        <f t="shared" ref="X27:AA27" si="0">IF(X26&lt;0.5,"most unlikely",IF(X26&lt;5,"very unlikely",IF(X26&lt;25,"unlikely",IF(X26&lt;75,"possible",IF(X26&lt;95,"likely",IF(X26&lt;99.5,"very likely","most likely"))))))</f>
        <v>unlikely</v>
      </c>
      <c r="Y27" s="159" t="str">
        <f t="shared" si="0"/>
        <v>very unlikely</v>
      </c>
      <c r="Z27" s="159" t="str">
        <f t="shared" si="0"/>
        <v>most unlikely</v>
      </c>
      <c r="AA27" s="159" t="str">
        <f t="shared" si="0"/>
        <v>most unlikely</v>
      </c>
      <c r="AB27" s="2"/>
      <c r="AC27" s="127"/>
      <c r="AD27" s="8"/>
      <c r="AE27" s="9"/>
      <c r="AF27" s="9"/>
      <c r="AG27" s="169"/>
      <c r="AH27" s="9"/>
      <c r="AI27" s="9"/>
      <c r="AJ27" s="9"/>
      <c r="AK27" s="9"/>
      <c r="AL27" s="12"/>
      <c r="AM27" s="9"/>
      <c r="AN27" s="9"/>
    </row>
    <row r="28" spans="1:40" ht="6.95" customHeight="1" x14ac:dyDescent="0.2">
      <c r="A28" s="134"/>
      <c r="B28" s="3"/>
      <c r="C28" s="15"/>
      <c r="D28" s="15"/>
      <c r="E28" s="15"/>
      <c r="F28" s="15"/>
      <c r="G28" s="15"/>
      <c r="H28" s="15"/>
      <c r="I28" s="15"/>
      <c r="J28" s="15"/>
      <c r="K28" s="3"/>
      <c r="L28" s="3"/>
      <c r="M28" s="3"/>
      <c r="N28" s="3"/>
      <c r="O28" s="3"/>
      <c r="P28" s="3"/>
      <c r="Q28" s="3"/>
      <c r="R28" s="3"/>
      <c r="S28" s="3"/>
      <c r="T28" s="3"/>
      <c r="U28" s="16"/>
      <c r="V28" s="16"/>
      <c r="W28" s="15"/>
      <c r="X28" s="15"/>
      <c r="Y28" s="15"/>
      <c r="Z28" s="15"/>
      <c r="AA28" s="15"/>
      <c r="AB28" s="3"/>
      <c r="AC28" s="134"/>
      <c r="AE28" s="186"/>
      <c r="AF28" s="186"/>
      <c r="AG28" s="170"/>
      <c r="AK28" s="9"/>
      <c r="AL28" s="9"/>
    </row>
    <row r="29" spans="1:40" s="7" customFormat="1" ht="12.95" customHeight="1" x14ac:dyDescent="0.2">
      <c r="A29" s="73"/>
      <c r="B29" s="30" t="s">
        <v>72</v>
      </c>
      <c r="C29" s="31"/>
      <c r="D29" s="31"/>
      <c r="E29" s="31"/>
      <c r="F29" s="31"/>
      <c r="G29" s="31"/>
      <c r="H29" s="31"/>
      <c r="I29" s="31"/>
      <c r="J29" s="31"/>
      <c r="K29" s="33"/>
      <c r="L29" s="33"/>
      <c r="M29" s="33"/>
      <c r="N29" s="33"/>
      <c r="O29" s="33"/>
      <c r="P29" s="33"/>
      <c r="Q29" s="33"/>
      <c r="R29" s="33"/>
      <c r="S29" s="33"/>
      <c r="T29" s="33"/>
      <c r="U29" s="33"/>
      <c r="V29" s="33"/>
      <c r="W29" s="31"/>
      <c r="X29" s="32"/>
      <c r="Y29" s="32"/>
      <c r="Z29" s="32"/>
      <c r="AA29" s="32"/>
      <c r="AB29" s="33"/>
      <c r="AC29" s="256"/>
      <c r="AD29" s="258"/>
      <c r="AF29" s="186"/>
      <c r="AH29" s="9"/>
      <c r="AI29" s="9"/>
      <c r="AJ29" s="9"/>
      <c r="AK29" s="9"/>
      <c r="AL29" s="12"/>
      <c r="AM29" s="9"/>
      <c r="AN29" s="9"/>
    </row>
    <row r="30" spans="1:40" ht="12.95" customHeight="1" x14ac:dyDescent="0.2">
      <c r="A30" s="134"/>
      <c r="B30" s="310" t="s">
        <v>121</v>
      </c>
      <c r="C30" s="310"/>
      <c r="D30" s="310"/>
      <c r="E30" s="310"/>
      <c r="F30" s="280"/>
      <c r="G30" s="31"/>
      <c r="H30" s="31"/>
      <c r="I30" s="32"/>
      <c r="J30" s="31"/>
      <c r="K30" s="31"/>
      <c r="L30" s="33"/>
      <c r="M30" s="33" t="s">
        <v>37</v>
      </c>
      <c r="N30" s="33"/>
      <c r="O30" s="33"/>
      <c r="P30" s="33"/>
      <c r="Q30" s="33"/>
      <c r="R30" s="33"/>
      <c r="S30" s="33"/>
      <c r="T30" s="33"/>
      <c r="U30" s="33"/>
      <c r="V30" s="33"/>
      <c r="W30" s="31"/>
      <c r="X30" s="344" t="s">
        <v>97</v>
      </c>
      <c r="Y30" s="345"/>
      <c r="Z30" s="345"/>
      <c r="AA30" s="266">
        <v>0</v>
      </c>
      <c r="AB30" s="34"/>
      <c r="AC30" s="73"/>
      <c r="AD30" s="9"/>
      <c r="AE30" s="361" t="s">
        <v>49</v>
      </c>
      <c r="AF30" s="362"/>
      <c r="AG30" s="167"/>
      <c r="AK30" s="9"/>
      <c r="AL30" s="9"/>
    </row>
    <row r="31" spans="1:40" ht="12.95" customHeight="1" x14ac:dyDescent="0.2">
      <c r="A31" s="134"/>
      <c r="B31" s="304" t="s">
        <v>0</v>
      </c>
      <c r="C31" s="304" t="s">
        <v>1</v>
      </c>
      <c r="D31" s="307" t="s">
        <v>2</v>
      </c>
      <c r="E31" s="304" t="s">
        <v>139</v>
      </c>
      <c r="F31" s="304" t="s">
        <v>15</v>
      </c>
      <c r="G31" s="298" t="s">
        <v>38</v>
      </c>
      <c r="H31" s="299"/>
      <c r="I31" s="297" t="s">
        <v>6</v>
      </c>
      <c r="J31" s="297"/>
      <c r="K31" s="297"/>
      <c r="L31" s="33"/>
      <c r="M31" s="302" t="s">
        <v>81</v>
      </c>
      <c r="N31" s="33"/>
      <c r="O31" s="33"/>
      <c r="P31" s="33"/>
      <c r="Q31" s="302" t="s">
        <v>4</v>
      </c>
      <c r="R31" s="302" t="s">
        <v>5</v>
      </c>
      <c r="S31" s="262"/>
      <c r="T31" s="263"/>
      <c r="U31" s="33"/>
      <c r="V31" s="33"/>
      <c r="W31" s="31"/>
      <c r="X31" s="346" t="s">
        <v>136</v>
      </c>
      <c r="Y31" s="347"/>
      <c r="Z31" s="347"/>
      <c r="AA31" s="348"/>
      <c r="AB31" s="34"/>
      <c r="AC31" s="73"/>
      <c r="AD31" s="9"/>
      <c r="AE31" s="363"/>
      <c r="AF31" s="364"/>
      <c r="AG31" s="312" t="s">
        <v>3</v>
      </c>
      <c r="AK31" s="9"/>
      <c r="AL31" s="9"/>
    </row>
    <row r="32" spans="1:40" s="7" customFormat="1" ht="12.95" customHeight="1" x14ac:dyDescent="0.2">
      <c r="A32" s="134"/>
      <c r="B32" s="305"/>
      <c r="C32" s="305"/>
      <c r="D32" s="307"/>
      <c r="E32" s="305"/>
      <c r="F32" s="305"/>
      <c r="G32" s="300"/>
      <c r="H32" s="301"/>
      <c r="I32" s="22" t="s">
        <v>16</v>
      </c>
      <c r="J32" s="238"/>
      <c r="K32" s="239"/>
      <c r="L32" s="36"/>
      <c r="M32" s="303"/>
      <c r="N32" s="133">
        <f>$N$19</f>
        <v>90</v>
      </c>
      <c r="O32" s="295" t="s">
        <v>125</v>
      </c>
      <c r="P32" s="296"/>
      <c r="Q32" s="322"/>
      <c r="R32" s="303"/>
      <c r="S32" s="366" t="s">
        <v>39</v>
      </c>
      <c r="T32" s="367"/>
      <c r="U32" s="264" t="s">
        <v>95</v>
      </c>
      <c r="V32" s="33"/>
      <c r="W32" s="31"/>
      <c r="X32" s="349"/>
      <c r="Y32" s="350"/>
      <c r="Z32" s="350"/>
      <c r="AA32" s="351"/>
      <c r="AB32" s="36"/>
      <c r="AC32" s="127"/>
      <c r="AD32" s="8"/>
      <c r="AE32" s="368" t="s">
        <v>47</v>
      </c>
      <c r="AF32" s="368" t="s">
        <v>48</v>
      </c>
      <c r="AG32" s="313"/>
      <c r="AH32" s="9"/>
      <c r="AI32" s="9"/>
      <c r="AJ32" s="12"/>
      <c r="AK32" s="9"/>
      <c r="AL32" s="9"/>
      <c r="AM32" s="9"/>
      <c r="AN32" s="9"/>
    </row>
    <row r="33" spans="1:40" s="7" customFormat="1" ht="12.95" customHeight="1" x14ac:dyDescent="0.2">
      <c r="A33" s="134"/>
      <c r="B33" s="308"/>
      <c r="C33" s="308"/>
      <c r="D33" s="307"/>
      <c r="E33" s="308"/>
      <c r="F33" s="308"/>
      <c r="G33" s="74" t="s">
        <v>7</v>
      </c>
      <c r="H33" s="62" t="s">
        <v>8</v>
      </c>
      <c r="I33" s="261"/>
      <c r="J33" s="22" t="s">
        <v>17</v>
      </c>
      <c r="K33" s="22" t="s">
        <v>18</v>
      </c>
      <c r="L33" s="36"/>
      <c r="M33" s="237"/>
      <c r="N33" s="26" t="s">
        <v>9</v>
      </c>
      <c r="O33" s="22" t="s">
        <v>10</v>
      </c>
      <c r="P33" s="27" t="s">
        <v>11</v>
      </c>
      <c r="Q33" s="306"/>
      <c r="R33" s="306"/>
      <c r="S33" s="29" t="s">
        <v>12</v>
      </c>
      <c r="T33" s="29" t="s">
        <v>13</v>
      </c>
      <c r="U33" s="265" t="s">
        <v>96</v>
      </c>
      <c r="V33" s="33"/>
      <c r="W33" s="31"/>
      <c r="X33" s="267" t="s">
        <v>98</v>
      </c>
      <c r="Y33" s="267" t="s">
        <v>99</v>
      </c>
      <c r="Z33" s="267" t="s">
        <v>100</v>
      </c>
      <c r="AA33" s="267" t="s">
        <v>101</v>
      </c>
      <c r="AB33" s="36"/>
      <c r="AC33" s="127"/>
      <c r="AD33" s="8"/>
      <c r="AE33" s="369"/>
      <c r="AF33" s="369"/>
      <c r="AG33" s="314"/>
      <c r="AH33" s="370" t="s">
        <v>14</v>
      </c>
      <c r="AI33" s="370"/>
      <c r="AJ33" s="370"/>
      <c r="AK33" s="199"/>
      <c r="AL33" s="9"/>
      <c r="AM33" s="9"/>
      <c r="AN33" s="9"/>
    </row>
    <row r="34" spans="1:40" s="7" customFormat="1" ht="13.5" customHeight="1" x14ac:dyDescent="0.2">
      <c r="A34" s="134"/>
      <c r="B34" s="208">
        <v>-1</v>
      </c>
      <c r="C34" s="121">
        <f>-B34</f>
        <v>1</v>
      </c>
      <c r="D34" s="209">
        <v>1</v>
      </c>
      <c r="E34" s="208">
        <v>10</v>
      </c>
      <c r="F34" s="72">
        <v>50</v>
      </c>
      <c r="G34" s="121">
        <f>$G$19</f>
        <v>0.5</v>
      </c>
      <c r="H34" s="121">
        <f>$H$19</f>
        <v>25</v>
      </c>
      <c r="I34" s="25">
        <f>IF(ISBLANK(I33),AL34,I33)</f>
        <v>24.441077415136572</v>
      </c>
      <c r="J34" s="24">
        <f>F34/100*I34</f>
        <v>12.220538707568286</v>
      </c>
      <c r="K34" s="24">
        <f>I34-J34</f>
        <v>12.220538707568286</v>
      </c>
      <c r="L34" s="37"/>
      <c r="M34" s="20">
        <f>IF(ISBLANK(M33),IF(OR(ISBLANK(I33),AND(G34=H34,I33&gt;AL34)),(C34*TINV(2*G34/100,I34-1)+B34*IF(H34&gt;50,-TINV(2-2*H34/100,I34-2),TINV(2*H34/100,I34-2)))/(TINV(2*G34/100,I34-1)+IF(H34&gt;50,-TINV(2-2*H34/100,I34-2),TINV(2*H34/100,I34-2))),-SIGN(B34)*IF(I33&lt;AL34,-ABS(B34)-SQRT(AG34/I34)*_xlfn.T.INV(G34/100,I34-2),ABS(C34)-SQRT(AG34/I34)*_xlfn.T.INV(1-H34/100,I34-2))),M33)</f>
        <v>0.60734188080063412</v>
      </c>
      <c r="N34" s="28">
        <f>M34-SQRT(AG34/I34)*TINV(1-N32/100,I34-2)</f>
        <v>-0.37260643748792399</v>
      </c>
      <c r="O34" s="28">
        <f>M34+SQRT(AG34/I34)*TINV(1-N32/100,I34-2)</f>
        <v>1.5872901990891921</v>
      </c>
      <c r="P34" s="28">
        <f>(O34-N34)/2</f>
        <v>0.979948318288558</v>
      </c>
      <c r="Q34" s="20">
        <f>B34</f>
        <v>-1</v>
      </c>
      <c r="R34" s="20">
        <f>C34</f>
        <v>1</v>
      </c>
      <c r="S34" s="191">
        <f>IF(ISERROR(TDIST(IF(R34&gt;Q34,1,-1)*(M34-Q34)/SQRT(AG34/I34),I34-2,1)),1-TDIST(-IF(R34&gt;Q34,1,-1)*(M34-Q34)/SQRT(AG34/I34),I34-2,1),TDIST(IF(R34&gt;Q34,1,-1)*(M34-Q34)/SQRT(AG34/I34),I34-2,1))*100</f>
        <v>0.5025571890762538</v>
      </c>
      <c r="T34" s="191">
        <f>IF(ISERROR(TDIST(IF(R34&gt;Q34,1,-1)*(R34-M34)/SQRT(AG34/I34),I34-2,1)),1-TDIST(-IF(R34&gt;Q34,1,-1)*(R34-M34)/SQRT(AG34/I34),I34-2,1),TDIST(IF(R34&gt;Q34,1,-1)*(R34-M34)/SQRT(AG34/I34),I34-2,1))*100</f>
        <v>24.930712960645295</v>
      </c>
      <c r="U34" s="24">
        <f>(T34/(100-T34))/(S34/(100-S34))</f>
        <v>65.750466180168274</v>
      </c>
      <c r="V34" s="33"/>
      <c r="W34" s="31"/>
      <c r="X34" s="191">
        <f>IF(-ABS(B34)-SQRT(AG34/I34)*_xlfn.T.INV(G34/100,I34-2)&gt;ABS(C34)-SQRT(AG34/I34)*_xlfn.T.INV(1-25/100,I34-2),100*_xlfn.T.DIST.RT(((-ABS(B34)-SQRT(AG34/I34)*_xlfn.T.INV(G34/100,I34-2))-IF(B34&lt;0,AA30,-AA30))/SQRT(AG34/I34),I34-2),100*_xlfn.T.DIST.RT(((ABS(C34)-SQRT(AG34/I34)*_xlfn.T.INV(1-25/100,I34-2))-IF(B34&lt;0,AA30,-AA30))/SQRT(AG34/I34),I34-2))+(G34=H34)*IF(-ABS(B34)-SQRT(AG34/I34)*_xlfn.T.INV(G34/100,I34-2)&gt;ABS(C34)-SQRT(AG34/I34)*_xlfn.T.INV(1-25/100,I34-2),100*_xlfn.T.DIST.RT((-ABS(B34)-SQRT(AG34/I34)*_xlfn.T.INV(G34/100,I34-2)+IF(B34&lt;0,AA30,-AA30))/SQRT(AG34/I34),I34-2),100*_xlfn.T.DIST.RT((ABS(C34)-SQRT(AG34/I34)*_xlfn.T.INV(1-25/100,I34-2)+IF(B34&lt;0,AA30,-AA30))/SQRT(AG34/I34),I34-2))</f>
        <v>14.888656971056847</v>
      </c>
      <c r="Y34" s="191">
        <f>IF(-ABS(B34)-SQRT(AG34/I34)*_xlfn.T.INV(G34/100,I34-2)&gt;ABS(C34)-SQRT(AG34/I34)*_xlfn.T.INV(1-75/100,I34-2),100*_xlfn.T.DIST.RT(((-ABS(B34)-SQRT(AG34/I34)*_xlfn.T.INV(G34/100,I34-2))-IF(B34&lt;0,AA30,-AA30))/SQRT(AG34/I34),I34-2),100*_xlfn.T.DIST.RT(((ABS(C34)-SQRT(AG34/I34)*_xlfn.T.INV(1-75/100,I34-2))-IF(B34&lt;0,AA30,-AA30))/SQRT(AG34/I34),I34-2))+(G34=H34)*IF(-ABS(B34)-SQRT(AG34/I34)*_xlfn.T.INV(G34/100,I34-2)&gt;ABS(C34)-SQRT(AG34/I34)*_xlfn.T.INV(1-75/100,I34-2),100*_xlfn.T.DIST.RT((-ABS(B34)-SQRT(AG34/I34)*_xlfn.T.INV(G34/100,I34-2)+IF(B34&lt;0,AA30,-AA30))/SQRT(AG34/I34),I34-2),100*_xlfn.T.DIST.RT((ABS(C34)-SQRT(AG34/I34)*_xlfn.T.INV(1-75/100,I34-2)+IF(B34&lt;0,AA30,-AA30))/SQRT(AG34/I34),I34-2))</f>
        <v>1.165060045049999</v>
      </c>
      <c r="Z34" s="191">
        <f>IF(-ABS(B34)-SQRT(AG34/I34)*_xlfn.T.INV(G34/100,I34-2)&gt;ABS(C34)-SQRT(AG34/I34)*_xlfn.T.INV(1-95/100,I34-2),100*_xlfn.T.DIST.RT(((-ABS(B34)-SQRT(AG34/I34)*_xlfn.T.INV(G34/100,I34-2))-IF(B34&lt;0,AA30,-AA30))/SQRT(AG34/I34),I34-2),100*_xlfn.T.DIST.RT(((ABS(C34)-SQRT(AG34/I34)*_xlfn.T.INV(1-95/100,I34-2))-IF(B34&lt;0,AA30,-AA30))/SQRT(AG34/I34),I34-2))+(G34=H34)*IF(-ABS(B34)-SQRT(AG34/I34)*_xlfn.T.INV(G34/100,I34-2)&gt;ABS(C34)-SQRT(AG34/I34)*_xlfn.T.INV(1-95/100,I34-2),100*_xlfn.T.DIST.RT((-ABS(B34)-SQRT(AG34/I34)*_xlfn.T.INV(G34/100,I34-2)+IF(B34&lt;0,AA30,-AA30))/SQRT(AG34/I34),I34-2),100*_xlfn.T.DIST.RT((ABS(C34)-SQRT(AG34/I34)*_xlfn.T.INV(1-95/100,I34-2)+IF(B34&lt;0,AA30,-AA30))/SQRT(AG34/I34),I34-2))</f>
        <v>0.10890146035698087</v>
      </c>
      <c r="AA34" s="28">
        <f>IF(-ABS(B34)-SQRT(AG34/I34)*_xlfn.T.INV(G34/100,I34-2)&gt;ABS(C34)-SQRT(AG34/I34)*_xlfn.T.INV(1-99.5/100,I34-2),100*_xlfn.T.DIST.RT(((-ABS(B34)-SQRT(AG34/I34)*_xlfn.T.INV(G34/100,I34-2))-IF(B34&lt;0,AA30,-AA30))/SQRT(AG34/I34),I34-2),100*_xlfn.T.DIST.RT(((ABS(C34)-SQRT(AG34/I34)*_xlfn.T.INV(1-99.5/100,I34-2))-IF(B34&lt;0,AA30,-AA30))/SQRT(AG34/I34),I34-2))+(G34=H34)*IF(-ABS(B34)-SQRT(AG34/I34)*_xlfn.T.INV(G34/100,I34-2)&gt;ABS(C34)-SQRT(AG34/I34)*_xlfn.T.INV(1-99.5/100,I34-2),100*_xlfn.T.DIST.RT((-ABS(B34)-SQRT(AG34/I34)*_xlfn.T.INV(G34/100,I34-2)+IF(B34&lt;0,AA30,-AA30))/SQRT(AG34/I34),I34-2),100*_xlfn.T.DIST.RT((ABS(C34)-SQRT(AG34/I34)*_xlfn.T.INV(1-99.5/100,I34-2)+IF(B34&lt;0,AA30,-AA30))/SQRT(AG34/I34),I34-2))</f>
        <v>7.4775709358955566E-3</v>
      </c>
      <c r="AB34" s="37"/>
      <c r="AC34" s="142"/>
      <c r="AD34" s="178"/>
      <c r="AE34" s="171">
        <f>100*_xlfn.T.DIST.RT(-_xlfn.T.INV(1-H34/100,I34-2)+ABS(B34)/(SQRT(AG34/I34)),I34-2)</f>
        <v>14.888656971056848</v>
      </c>
      <c r="AF34" s="171">
        <f>100*_xlfn.T.DIST.RT(-_xlfn.T.INV(G34/100,I34-2)-ABS(B34)/(SQRT(AG34/I34)),I34-2)</f>
        <v>14.888656971056896</v>
      </c>
      <c r="AG34" s="168">
        <f>(2*E34^2-D34^2)/E34^2*D34^2/(F34/100*(1-F34/100))</f>
        <v>7.96</v>
      </c>
      <c r="AH34" s="171">
        <f>AG34*((TINV(G34*2/100,10)+IF(H34&gt;50,-TINV(2-2*H34/100,10),TINV(2*H34/100,10)))/(C34-B34))^2</f>
        <v>29.789935189867563</v>
      </c>
      <c r="AI34" s="171">
        <f>AG34*((TINV(G34*2/100,IF(AH34-2&lt;4,4,AH34-2))+IF(H34&gt;50,-TINV(2-2*H34/100,IF(AH34-2&lt;4,4,AH34-2)),TINV(2*H34/100,IF(AH34-2&lt;4,4,AH34-2))))/(C34-B34))^2</f>
        <v>23.745989099638852</v>
      </c>
      <c r="AJ34" s="171">
        <f>AG34*((TINV(G34*2/100,IF(AI34-2&lt;4,4,AI34-2))+IF(H34&gt;50,-TINV(2-2*H34/100,IF(AI34-2&lt;4,4,AI34-2)),TINV(2*H34/100,IF(AI34-2&lt;4,4,AI34-2))))/(C34-B34))^2</f>
        <v>24.62484613501621</v>
      </c>
      <c r="AK34" s="200">
        <f>AG34*((TINV(G34*2/100,IF(AJ34-2&lt;4,4,AJ34-2))+IF(H34&gt;50,-TINV(2-2*H34/100,IF(AJ34-2&lt;4,4,AJ34-2)),TINV(2*H34/100,IF(AJ34-2&lt;4,4,AJ34-2))))/(C34-B34))^2</f>
        <v>24.441077415136572</v>
      </c>
      <c r="AL34" s="9">
        <f>AG34*((TINV(G34*2/100,IF(AK34-2&lt;4,4,AK34-2))+IF(H34&gt;50,-TINV(2-2*H34/100,999),TINV(2*H34/100,IF(AK34-2&lt;4,4,AK34-2))))/(C34-B34))^2</f>
        <v>24.441077415136572</v>
      </c>
      <c r="AM34" s="9"/>
      <c r="AN34" s="9"/>
    </row>
    <row r="35" spans="1:40" s="7" customFormat="1" ht="12.95" customHeight="1" x14ac:dyDescent="0.2">
      <c r="A35" s="134"/>
      <c r="B35" s="34"/>
      <c r="C35" s="35"/>
      <c r="D35" s="35"/>
      <c r="E35" s="35"/>
      <c r="F35" s="34"/>
      <c r="G35" s="23" t="str">
        <f>IF(G34&lt;=0.1,"negligible",IF(G34&lt;=0.5,"most unlikely",IF(G34&lt;=5,"very unlikely",IF(G34&lt;=25,"unlikely",IF(G34&lt;=50,"possible","not computed")))))</f>
        <v>most unlikely</v>
      </c>
      <c r="H35" s="23" t="str">
        <f>IF(H34&lt;0.505,"most unlikely",IF(H34&lt;5.01,"very unlikely",IF(H34&lt;25.1,"unlikely",IF(H34&lt;75,"possible",IF(H34&lt;95,"likely",IF(H34&lt;99.5,"very likely","most likely"))))))</f>
        <v>unlikely</v>
      </c>
      <c r="I35" s="36"/>
      <c r="J35" s="36"/>
      <c r="K35" s="36"/>
      <c r="L35" s="36"/>
      <c r="M35" s="35"/>
      <c r="N35" s="36"/>
      <c r="O35" s="36"/>
      <c r="P35" s="36"/>
      <c r="Q35" s="36"/>
      <c r="R35" s="36"/>
      <c r="S35" s="23" t="str">
        <f>IF(S34&lt;0.505,"most unlikely",IF(S34&lt;5.01,"very unlikely",IF(S34&lt;25.01,"unlikely",IF(S34&lt;74.99,"possible",IF(S34&lt;94.99,"likely",IF(S34&lt;99.49,"very likely","most likely"))))))</f>
        <v>most unlikely</v>
      </c>
      <c r="T35" s="23" t="str">
        <f>IF(T34&lt;0.505,"most unlikely",IF(T34&lt;5.01,"very unlikely",IF(T34&lt;24.99,"unlikely",IF(T34&lt;74.99,"possible",IF(T34&lt;94.99,"likely",IF(T34&lt;99.49,"very likely","most likely"))))))</f>
        <v>unlikely</v>
      </c>
      <c r="U35" s="36"/>
      <c r="V35" s="33"/>
      <c r="W35" s="31"/>
      <c r="X35" s="159" t="str">
        <f t="shared" ref="X35:AA35" si="1">IF(X34&lt;0.5,"most unlikely",IF(X34&lt;5,"very unlikely",IF(X34&lt;25,"unlikely",IF(X34&lt;75,"possible",IF(X34&lt;95,"likely",IF(X34&lt;99.5,"very likely","most likely"))))))</f>
        <v>unlikely</v>
      </c>
      <c r="Y35" s="159" t="str">
        <f t="shared" si="1"/>
        <v>very unlikely</v>
      </c>
      <c r="Z35" s="159" t="str">
        <f t="shared" si="1"/>
        <v>most unlikely</v>
      </c>
      <c r="AA35" s="159" t="str">
        <f t="shared" si="1"/>
        <v>most unlikely</v>
      </c>
      <c r="AB35" s="36"/>
      <c r="AC35" s="127"/>
      <c r="AD35" s="8"/>
      <c r="AE35" s="136"/>
      <c r="AF35" s="136"/>
      <c r="AG35" s="169"/>
      <c r="AH35" s="9"/>
      <c r="AI35" s="9"/>
      <c r="AJ35" s="9"/>
      <c r="AK35" s="9"/>
      <c r="AL35" s="12"/>
      <c r="AM35" s="9"/>
      <c r="AN35" s="9"/>
    </row>
    <row r="36" spans="1:40" s="7" customFormat="1" ht="6.95" customHeight="1" x14ac:dyDescent="0.2">
      <c r="A36" s="134"/>
      <c r="B36" s="33"/>
      <c r="C36" s="31"/>
      <c r="D36" s="31"/>
      <c r="E36" s="31"/>
      <c r="F36" s="31"/>
      <c r="G36" s="31"/>
      <c r="H36" s="31"/>
      <c r="I36" s="31"/>
      <c r="J36" s="31"/>
      <c r="K36" s="33"/>
      <c r="L36" s="33"/>
      <c r="M36" s="33"/>
      <c r="N36" s="33"/>
      <c r="O36" s="33"/>
      <c r="P36" s="33"/>
      <c r="Q36" s="33"/>
      <c r="R36" s="33"/>
      <c r="S36" s="33"/>
      <c r="T36" s="33"/>
      <c r="U36" s="33"/>
      <c r="V36" s="33"/>
      <c r="W36" s="31"/>
      <c r="X36" s="31"/>
      <c r="Y36" s="31"/>
      <c r="Z36" s="31"/>
      <c r="AA36" s="31"/>
      <c r="AB36" s="33"/>
      <c r="AC36" s="134"/>
      <c r="AD36" s="11"/>
      <c r="AE36" s="186"/>
      <c r="AF36" s="186"/>
      <c r="AG36" s="170"/>
      <c r="AH36" s="9"/>
      <c r="AI36" s="9"/>
      <c r="AJ36" s="9"/>
      <c r="AK36" s="9"/>
      <c r="AL36" s="12"/>
      <c r="AM36" s="9"/>
      <c r="AN36" s="9"/>
    </row>
    <row r="37" spans="1:40" s="7" customFormat="1" ht="12.95" customHeight="1" x14ac:dyDescent="0.2">
      <c r="A37" s="73"/>
      <c r="B37" s="38" t="s">
        <v>76</v>
      </c>
      <c r="C37" s="40"/>
      <c r="D37" s="40"/>
      <c r="E37" s="40"/>
      <c r="F37" s="40"/>
      <c r="G37" s="47"/>
      <c r="H37" s="47"/>
      <c r="I37" s="40"/>
      <c r="J37" s="40"/>
      <c r="K37" s="40"/>
      <c r="L37" s="40"/>
      <c r="M37" s="40"/>
      <c r="N37" s="40"/>
      <c r="O37" s="40"/>
      <c r="P37" s="40"/>
      <c r="Q37" s="40"/>
      <c r="R37" s="40"/>
      <c r="S37" s="40"/>
      <c r="T37" s="40"/>
      <c r="U37" s="40"/>
      <c r="V37" s="40"/>
      <c r="W37" s="48"/>
      <c r="X37" s="48"/>
      <c r="Y37" s="48"/>
      <c r="Z37" s="48"/>
      <c r="AA37" s="48"/>
      <c r="AB37" s="40"/>
      <c r="AC37" s="73"/>
      <c r="AD37" s="9"/>
      <c r="AE37" s="188"/>
      <c r="AF37" s="188"/>
      <c r="AG37" s="9"/>
      <c r="AH37" s="9"/>
      <c r="AI37" s="255"/>
      <c r="AJ37" s="9"/>
      <c r="AK37" s="9"/>
      <c r="AL37" s="9"/>
      <c r="AM37" s="9"/>
      <c r="AN37" s="9"/>
    </row>
    <row r="38" spans="1:40" s="7" customFormat="1" ht="12.95" customHeight="1" x14ac:dyDescent="0.2">
      <c r="A38" s="73"/>
      <c r="B38" s="38"/>
      <c r="C38" s="39"/>
      <c r="D38" s="39"/>
      <c r="E38" s="39"/>
      <c r="F38" s="40"/>
      <c r="G38" s="41"/>
      <c r="H38" s="41"/>
      <c r="I38" s="42"/>
      <c r="J38" s="42"/>
      <c r="K38" s="42"/>
      <c r="L38" s="42"/>
      <c r="M38" s="40" t="s">
        <v>37</v>
      </c>
      <c r="N38" s="42"/>
      <c r="O38" s="42"/>
      <c r="P38" s="42"/>
      <c r="Q38" s="42"/>
      <c r="R38" s="42"/>
      <c r="S38" s="42"/>
      <c r="T38" s="42"/>
      <c r="U38" s="42"/>
      <c r="V38" s="40"/>
      <c r="W38" s="48"/>
      <c r="X38" s="344" t="s">
        <v>97</v>
      </c>
      <c r="Y38" s="345"/>
      <c r="Z38" s="345"/>
      <c r="AA38" s="266">
        <v>0</v>
      </c>
      <c r="AB38" s="42"/>
      <c r="AC38" s="127"/>
      <c r="AD38" s="8"/>
      <c r="AE38" s="361" t="s">
        <v>49</v>
      </c>
      <c r="AF38" s="362"/>
      <c r="AG38" s="169"/>
      <c r="AH38" s="9"/>
      <c r="AI38" s="9"/>
      <c r="AJ38" s="9"/>
      <c r="AK38" s="9"/>
      <c r="AL38" s="12"/>
      <c r="AM38" s="9"/>
      <c r="AN38" s="9"/>
    </row>
    <row r="39" spans="1:40" ht="12.95" customHeight="1" x14ac:dyDescent="0.2">
      <c r="A39" s="134"/>
      <c r="B39" s="43"/>
      <c r="C39" s="307" t="s">
        <v>19</v>
      </c>
      <c r="D39" s="307" t="s">
        <v>20</v>
      </c>
      <c r="E39" s="307" t="s">
        <v>140</v>
      </c>
      <c r="F39" s="304" t="s">
        <v>74</v>
      </c>
      <c r="G39" s="298" t="s">
        <v>38</v>
      </c>
      <c r="H39" s="299"/>
      <c r="I39" s="297" t="s">
        <v>6</v>
      </c>
      <c r="J39" s="297"/>
      <c r="K39" s="297"/>
      <c r="L39" s="43"/>
      <c r="M39" s="302" t="s">
        <v>81</v>
      </c>
      <c r="N39" s="174"/>
      <c r="O39" s="43"/>
      <c r="P39" s="43"/>
      <c r="Q39" s="302" t="s">
        <v>4</v>
      </c>
      <c r="R39" s="302" t="s">
        <v>5</v>
      </c>
      <c r="S39" s="43"/>
      <c r="T39" s="40"/>
      <c r="U39" s="43"/>
      <c r="V39" s="40"/>
      <c r="W39" s="48"/>
      <c r="X39" s="346" t="s">
        <v>136</v>
      </c>
      <c r="Y39" s="347"/>
      <c r="Z39" s="347"/>
      <c r="AA39" s="348"/>
      <c r="AB39" s="43"/>
      <c r="AC39" s="134"/>
      <c r="AE39" s="363"/>
      <c r="AF39" s="364"/>
      <c r="AG39" s="312" t="s">
        <v>3</v>
      </c>
      <c r="AL39" s="9"/>
      <c r="AM39" s="9"/>
      <c r="AN39" s="9"/>
    </row>
    <row r="40" spans="1:40" s="7" customFormat="1" ht="12.95" customHeight="1" x14ac:dyDescent="0.2">
      <c r="A40" s="73"/>
      <c r="B40" s="40"/>
      <c r="C40" s="307"/>
      <c r="D40" s="307"/>
      <c r="E40" s="307"/>
      <c r="F40" s="305"/>
      <c r="G40" s="300"/>
      <c r="H40" s="301"/>
      <c r="I40" s="22" t="s">
        <v>16</v>
      </c>
      <c r="J40" s="42"/>
      <c r="K40" s="42"/>
      <c r="L40" s="42"/>
      <c r="M40" s="303"/>
      <c r="N40" s="133">
        <f>$N$19</f>
        <v>90</v>
      </c>
      <c r="O40" s="295" t="s">
        <v>125</v>
      </c>
      <c r="P40" s="296"/>
      <c r="Q40" s="322"/>
      <c r="R40" s="303"/>
      <c r="S40" s="366" t="s">
        <v>39</v>
      </c>
      <c r="T40" s="367"/>
      <c r="U40" s="264" t="s">
        <v>95</v>
      </c>
      <c r="V40" s="40"/>
      <c r="W40" s="48"/>
      <c r="X40" s="349"/>
      <c r="Y40" s="350"/>
      <c r="Z40" s="350"/>
      <c r="AA40" s="351"/>
      <c r="AB40" s="45"/>
      <c r="AC40" s="130"/>
      <c r="AD40" s="259"/>
      <c r="AE40" s="368" t="s">
        <v>47</v>
      </c>
      <c r="AF40" s="368" t="s">
        <v>48</v>
      </c>
      <c r="AG40" s="313"/>
      <c r="AH40" s="9"/>
      <c r="AI40" s="9"/>
      <c r="AJ40" s="9"/>
      <c r="AK40" s="9"/>
      <c r="AL40" s="12"/>
      <c r="AM40" s="9"/>
      <c r="AN40" s="9"/>
    </row>
    <row r="41" spans="1:40" s="7" customFormat="1" ht="12.95" customHeight="1" x14ac:dyDescent="0.2">
      <c r="A41" s="73"/>
      <c r="B41" s="40"/>
      <c r="C41" s="307"/>
      <c r="D41" s="307"/>
      <c r="E41" s="307"/>
      <c r="F41" s="308"/>
      <c r="G41" s="74" t="s">
        <v>7</v>
      </c>
      <c r="H41" s="62" t="s">
        <v>8</v>
      </c>
      <c r="I41" s="261"/>
      <c r="J41" s="22" t="s">
        <v>60</v>
      </c>
      <c r="K41" s="22" t="s">
        <v>61</v>
      </c>
      <c r="L41" s="42"/>
      <c r="M41" s="237"/>
      <c r="N41" s="22" t="s">
        <v>9</v>
      </c>
      <c r="O41" s="22" t="s">
        <v>10</v>
      </c>
      <c r="P41" s="22" t="s">
        <v>11</v>
      </c>
      <c r="Q41" s="306"/>
      <c r="R41" s="306"/>
      <c r="S41" s="29" t="s">
        <v>12</v>
      </c>
      <c r="T41" s="29" t="s">
        <v>13</v>
      </c>
      <c r="U41" s="265" t="s">
        <v>96</v>
      </c>
      <c r="V41" s="40"/>
      <c r="W41" s="48"/>
      <c r="X41" s="267" t="s">
        <v>98</v>
      </c>
      <c r="Y41" s="267" t="s">
        <v>99</v>
      </c>
      <c r="Z41" s="267" t="s">
        <v>100</v>
      </c>
      <c r="AA41" s="267" t="s">
        <v>101</v>
      </c>
      <c r="AB41" s="42"/>
      <c r="AC41" s="127"/>
      <c r="AD41" s="8"/>
      <c r="AE41" s="369"/>
      <c r="AF41" s="369"/>
      <c r="AG41" s="314"/>
      <c r="AH41" s="371" t="s">
        <v>14</v>
      </c>
      <c r="AI41" s="372"/>
      <c r="AJ41" s="373"/>
      <c r="AK41" s="173"/>
      <c r="AL41" s="173"/>
      <c r="AM41" s="173"/>
      <c r="AN41" s="12"/>
    </row>
    <row r="42" spans="1:40" s="7" customFormat="1" ht="13.5" customHeight="1" x14ac:dyDescent="0.2">
      <c r="A42" s="73"/>
      <c r="B42" s="40"/>
      <c r="C42" s="209">
        <v>-0.2</v>
      </c>
      <c r="D42" s="121">
        <f>-C42</f>
        <v>0.2</v>
      </c>
      <c r="E42" s="271">
        <v>1</v>
      </c>
      <c r="F42" s="49">
        <v>50</v>
      </c>
      <c r="G42" s="121">
        <f>$G$19</f>
        <v>0.5</v>
      </c>
      <c r="H42" s="121">
        <f>$H$19</f>
        <v>25</v>
      </c>
      <c r="I42" s="25">
        <f>IF(ISBLANK(I41),AK42,I41)</f>
        <v>267.31031103596047</v>
      </c>
      <c r="J42" s="24">
        <f>F42/100*I42</f>
        <v>133.65515551798023</v>
      </c>
      <c r="K42" s="24">
        <f>I42-J42</f>
        <v>133.65515551798023</v>
      </c>
      <c r="L42" s="46"/>
      <c r="M42" s="20">
        <f>IF(ISBLANK(M41),IF(OR(ISBLANK(I41),AND(G42=H42,I41&gt;AK42)),(D42*TINV(2*G42/100,I42-1)+C42*IF(H42&gt;50,-TINV(2-2*H42/100,I42-2),TINV(2*H42/100,I42-2)))/(TINV(2*G42/100,I42-1)+IF(H42&gt;50,-TINV(2-2*H42/100,I42-2),TINV(2*H42/100,I42-2))),-SIGN(C42)*IF(I41&lt;AK42,-ABS(C42)-SQRT(AG42/I42)*_xlfn.T.INV(G42/100,I42-2),ABS(D42)-SQRT(AG42/I42)*_xlfn.T.INV(1-H42/100,I42-2))),M41)</f>
        <v>0.11737655329548355</v>
      </c>
      <c r="N42" s="28">
        <f>M42-SQRT(AG42/I42)*TINV(1-N40/100,I42-2)</f>
        <v>-8.4539239772629837E-2</v>
      </c>
      <c r="O42" s="28">
        <f>M42+SQRT(AG42/I42)*TINV(1-N40/100,I42-2)</f>
        <v>0.31929234636359693</v>
      </c>
      <c r="P42" s="28">
        <f>(O42-N42)/2</f>
        <v>0.20191579306811339</v>
      </c>
      <c r="Q42" s="20">
        <f>C42</f>
        <v>-0.2</v>
      </c>
      <c r="R42" s="20">
        <f>D42</f>
        <v>0.2</v>
      </c>
      <c r="S42" s="191">
        <f>IF(ISERROR(TDIST(IF(R42&gt;Q42,1,-1)*(M42-Q42)/SQRT(AG42/I42),I42-2,1)),1-TDIST(-IF(R42&gt;Q42,1,-1)*(M42-Q42)/SQRT(AG42/I42),I42-2,1),TDIST(IF(R42&gt;Q42,1,-1)*(M42-Q42)/SQRT(AG42/I42),I42-2,1))*100</f>
        <v>0.50002070414414479</v>
      </c>
      <c r="T42" s="24">
        <f>IF(ISERROR(TDIST(IF(R42&gt;Q42,1,-1)*(R42-M42)/SQRT(AG42/I42),I42-2,1)),1-TDIST(-IF(R42&gt;Q42,1,-1)*(R42-M42)/SQRT(AG42/I42),I42-2,1),TDIST(IF(R42&gt;Q42,1,-1)*(R42-M42)/SQRT(AG42/I42),I42-2,1))*100</f>
        <v>24.999536968389229</v>
      </c>
      <c r="U42" s="24">
        <f>(T42/(100-T42))/(S42/(100-S42))</f>
        <v>66.328934870424561</v>
      </c>
      <c r="V42" s="40"/>
      <c r="W42" s="48"/>
      <c r="X42" s="191">
        <f>IF(-ABS(C42)-SQRT(AG42/I42)*_xlfn.T.INV(G42/100,I42-2)&gt;ABS(D42)-SQRT(AG42/I42)*_xlfn.T.INV(1-25/100,I42-2),100*_xlfn.T.DIST.RT(((-ABS(C42)-SQRT(AG42/I42)*_xlfn.T.INV(G42/100,I42-2))-IF(C42&lt;0,AA38,-AA38))/SQRT(AG42/I42),I42-2),100*_xlfn.T.DIST.RT(((ABS(D42)-SQRT(AG42/I42)*_xlfn.T.INV(1-25/100,I42-2))-IF(C42&lt;0,AA38,-AA38))/SQRT(AG42/I42),I42-2))+(G42=H42)*IF(-ABS(C42)-SQRT(AG42/I42)*_xlfn.T.INV(G42/100,I42-2)&gt;ABS(D42)-SQRT(AG42/I42)*_xlfn.T.INV(1-25/100,I42-2),100*_xlfn.T.DIST.RT((-ABS(C42)-SQRT(AG42/I42)*_xlfn.T.INV(G42/100,I42-2)+IF(C42&lt;0,AA38,-AA38))/SQRT(AG42/I42),I42-2),100*_xlfn.T.DIST.RT((ABS(D42)-SQRT(AG42/I42)*_xlfn.T.INV(1-25/100,I42-2)+IF(C42&lt;0,AA38,-AA38))/SQRT(AG42/I42),I42-2))</f>
        <v>16.907919070899542</v>
      </c>
      <c r="Y42" s="191">
        <f>IF(-ABS(C42)-SQRT(AG42/I42)*_xlfn.T.INV(G42/100,I42-2)&gt;ABS(D42)-SQRT(AG42/I42)*_xlfn.T.INV(1-75/100,I42-2),100*_xlfn.T.DIST.RT(((-ABS(C42)-SQRT(AG42/I42)*_xlfn.T.INV(G42/100,I42-2))-IF(C42&lt;0,AA38,-AA38))/SQRT(AG42/I42),I42-2),100*_xlfn.T.DIST.RT(((ABS(D42)-SQRT(AG42/I42)*_xlfn.T.INV(1-75/100,I42-2))-IF(C42&lt;0,AA38,-AA38))/SQRT(AG42/I42),I42-2))+(G42=H42)*IF(-ABS(C42)-SQRT(AG42/I42)*_xlfn.T.INV(G42/100,I42-2)&gt;ABS(D42)-SQRT(AG42/I42)*_xlfn.T.INV(1-75/100,I42-2),100*_xlfn.T.DIST.RT((-ABS(C42)-SQRT(AG42/I42)*_xlfn.T.INV(G42/100,I42-2)+IF(C42&lt;0,AA38,-AA38))/SQRT(AG42/I42),I42-2),100*_xlfn.T.DIST.RT((ABS(D42)-SQRT(AG42/I42)*_xlfn.T.INV(1-75/100,I42-2)+IF(C42&lt;0,AA38,-AA38))/SQRT(AG42/I42),I42-2))</f>
        <v>1.0817769737331895</v>
      </c>
      <c r="Z42" s="191">
        <f>IF(-ABS(C42)-SQRT(AG42/I42)*_xlfn.T.INV(G42/100,I42-2)&gt;ABS(D42)-SQRT(AG42/I42)*_xlfn.T.INV(1-95/100,I42-2),100*_xlfn.T.DIST.RT(((-ABS(C42)-SQRT(AG42/I42)*_xlfn.T.INV(G42/100,I42-2))-IF(C42&lt;0,AA38,-AA38))/SQRT(AG42/I42),I42-2),100*_xlfn.T.DIST.RT(((ABS(D42)-SQRT(AG42/I42)*_xlfn.T.INV(1-95/100,I42-2))-IF(C42&lt;0,AA38,-AA38))/SQRT(AG42/I42),I42-2))+(G42=H42)*IF(-ABS(C42)-SQRT(AG42/I42)*_xlfn.T.INV(G42/100,I42-2)&gt;ABS(D42)-SQRT(AG42/I42)*_xlfn.T.INV(1-95/100,I42-2),100*_xlfn.T.DIST.RT((-ABS(C42)-SQRT(AG42/I42)*_xlfn.T.INV(G42/100,I42-2)+IF(C42&lt;0,AA38,-AA38))/SQRT(AG42/I42),I42-2),100*_xlfn.T.DIST.RT((ABS(D42)-SQRT(AG42/I42)*_xlfn.T.INV(1-95/100,I42-2)+IF(C42&lt;0,AA38,-AA38))/SQRT(AG42/I42),I42-2))</f>
        <v>5.7745578009352691E-2</v>
      </c>
      <c r="AA42" s="28">
        <f>IF(-ABS(C42)-SQRT(AG42/I42)*_xlfn.T.INV(G42/100,I42-2)&gt;ABS(D42)-SQRT(AG42/I42)*_xlfn.T.INV(1-99.5/100,I42-2),100*_xlfn.T.DIST.RT(((-ABS(C42)-SQRT(AG42/I42)*_xlfn.T.INV(G42/100,I42-2))-IF(C42&lt;0,AA38,-AA38))/SQRT(AG42/I42),I42-2),100*_xlfn.T.DIST.RT(((ABS(D42)-SQRT(AG42/I42)*_xlfn.T.INV(1-99.5/100,I42-2))-IF(C42&lt;0,AA38,-AA38))/SQRT(AG42/I42),I42-2))+(G42=H42)*IF(-ABS(C42)-SQRT(AG42/I42)*_xlfn.T.INV(G42/100,I42-2)&gt;ABS(D42)-SQRT(AG42/I42)*_xlfn.T.INV(1-99.5/100,I42-2),100*_xlfn.T.DIST.RT((-ABS(C42)-SQRT(AG42/I42)*_xlfn.T.INV(G42/100,I42-2)+IF(C42&lt;0,AA38,-AA38))/SQRT(AG42/I42),I42-2),100*_xlfn.T.DIST.RT((ABS(D42)-SQRT(AG42/I42)*_xlfn.T.INV(1-99.5/100,I42-2)+IF(C42&lt;0,AA38,-AA38))/SQRT(AG42/I42),I42-2))</f>
        <v>1.6144544655631499E-3</v>
      </c>
      <c r="AB42" s="46"/>
      <c r="AC42" s="142"/>
      <c r="AD42" s="178"/>
      <c r="AE42" s="187">
        <f>IF(ISERROR(100*TDIST(ABS(D42)/(E42*SQRT(AG42/I42))-IF(H42&gt;50,-TINV(2-2*H42/100,I42-1),TINV(2*H42/100,I42-1)),I42-1,1)),100-100*TDIST(-(ABS(D42)/(E42*SQRT(AG42/I42))-IF(H42&gt;50,-TINV(2-2*H42/100,I42-1),TINV(2*H42/100,I42-1))),I42-1,1),100*TDIST(ABS(D42)/(E42*SQRT(AG42/I42))-IF(H42&gt;50,-TINV(2-2*H42/100,I42-1),TINV(2*H42/100,I42-1)),I42-1,1))</f>
        <v>16.907667143358786</v>
      </c>
      <c r="AF42" s="187">
        <f>IF(ISERROR(100*TDIST(TINV(G42/100*2,I42-1)-ABS(C42)/(E42*SQRT(AG42/I42)),I42-1,1)),100-100*TDIST(-(TINV(G42/100*2,I42-1)-ABS(C42)/(E42*SQRT(AG42/I42))),I42-1,1),100*TDIST(TINV(G42/100*2,I42-1)-ABS(C42)/(E42*SQRT(AG42/I42)),I42-1,1))</f>
        <v>16.909531436265723</v>
      </c>
      <c r="AG42" s="171">
        <f>E42^2/(F42/100*(1-F42/100))</f>
        <v>4</v>
      </c>
      <c r="AH42" s="171">
        <f>AG42*((TINV(G42*2/100,100)+IF(H42&gt;50,-TINV(2-2*H42/100,100),TINV(2*H42/100,100)))/(D42-C42))^2</f>
        <v>272.71905999637852</v>
      </c>
      <c r="AI42" s="171">
        <f>AG42*((TINV(G42*2/100,AH42-1)+IF(H42&gt;50,-TINV(2-2*H42/100,AH42-1),TINV(2*H42/100,AH42-1)))/(D42-C42))^2</f>
        <v>267.23888980568842</v>
      </c>
      <c r="AJ42" s="171">
        <f>AG42*((TINV(G42*2/100,AI42-1)+IF(H42&gt;50,-TINV(2-2*H42/100,AI42-1),TINV(2*H42/100,AI42-1)))/(D42-C42))^2</f>
        <v>267.29818161809487</v>
      </c>
      <c r="AK42" s="136">
        <f>AG42*((TINV(G42*2/100,AJ42-2)+IF(H42&gt;50,-TINV(2-2*H42/100,AJ42-2),TINV(2*H42/100,AJ42-2)))/(D42-C42))^2</f>
        <v>267.31031103596047</v>
      </c>
      <c r="AL42" s="136"/>
      <c r="AM42" s="136"/>
      <c r="AN42" s="9"/>
    </row>
    <row r="43" spans="1:40" ht="12.95" customHeight="1" x14ac:dyDescent="0.2">
      <c r="A43" s="134"/>
      <c r="B43" s="43"/>
      <c r="C43" s="44"/>
      <c r="D43" s="44"/>
      <c r="E43" s="44"/>
      <c r="F43" s="43"/>
      <c r="G43" s="23" t="str">
        <f>IF(G42&lt;=0.1,"negligible",IF(G42&lt;=0.5,"most unlikely",IF(G42&lt;=5,"very unlikely",IF(G42&lt;=25,"unlikely",IF(G42&lt;=50,"possible","not computed")))))</f>
        <v>most unlikely</v>
      </c>
      <c r="H43" s="23" t="str">
        <f>IF(H42&lt;0.505,"most unlikely",IF(H42&lt;5.01,"very unlikely",IF(H42&lt;25.1,"unlikely",IF(H42&lt;75,"possible",IF(H42&lt;95,"likely",IF(H42&lt;99.5,"very likely","most likely"))))))</f>
        <v>unlikely</v>
      </c>
      <c r="I43" s="156"/>
      <c r="J43" s="157"/>
      <c r="K43" s="43"/>
      <c r="L43" s="43"/>
      <c r="M43" s="174"/>
      <c r="N43" s="43"/>
      <c r="O43" s="43"/>
      <c r="P43" s="43"/>
      <c r="Q43" s="42"/>
      <c r="R43" s="42"/>
      <c r="S43" s="23" t="str">
        <f>IF(S42&lt;0.505,"most unlikely",IF(S42&lt;5.01,"very unlikely",IF(S42&lt;25.01,"unlikely",IF(S42&lt;74.99,"possible",IF(S42&lt;94.99,"likely",IF(S42&lt;99.49,"very likely","most likely"))))))</f>
        <v>most unlikely</v>
      </c>
      <c r="T43" s="23" t="str">
        <f>IF(T42&lt;0.505,"most unlikely",IF(T42&lt;5.01,"very unlikely",IF(T42&lt;24.99,"unlikely",IF(T42&lt;74.99,"possible",IF(T42&lt;94.99,"likely",IF(T42&lt;99.49,"very likely","most likely"))))))</f>
        <v>possible</v>
      </c>
      <c r="U43" s="43"/>
      <c r="V43" s="40"/>
      <c r="W43" s="48"/>
      <c r="X43" s="159" t="str">
        <f t="shared" ref="X43:AA43" si="2">IF(X42&lt;0.5,"most unlikely",IF(X42&lt;5,"very unlikely",IF(X42&lt;25,"unlikely",IF(X42&lt;75,"possible",IF(X42&lt;95,"likely",IF(X42&lt;99.5,"very likely","most likely"))))))</f>
        <v>unlikely</v>
      </c>
      <c r="Y43" s="159" t="str">
        <f t="shared" si="2"/>
        <v>very unlikely</v>
      </c>
      <c r="Z43" s="159" t="str">
        <f t="shared" si="2"/>
        <v>most unlikely</v>
      </c>
      <c r="AA43" s="159" t="str">
        <f t="shared" si="2"/>
        <v>most unlikely</v>
      </c>
      <c r="AB43" s="43"/>
      <c r="AC43" s="134"/>
      <c r="AE43" s="9"/>
      <c r="AF43" s="9"/>
      <c r="AG43" s="170"/>
      <c r="AH43" s="9"/>
      <c r="AI43" s="9"/>
    </row>
    <row r="44" spans="1:40" s="7" customFormat="1" ht="6.95" customHeight="1" x14ac:dyDescent="0.2">
      <c r="A44" s="73"/>
      <c r="B44" s="40"/>
      <c r="C44" s="40"/>
      <c r="D44" s="40"/>
      <c r="E44" s="40"/>
      <c r="F44" s="40"/>
      <c r="G44" s="47"/>
      <c r="H44" s="47"/>
      <c r="I44" s="40"/>
      <c r="J44" s="40"/>
      <c r="K44" s="40"/>
      <c r="L44" s="40"/>
      <c r="M44" s="40"/>
      <c r="N44" s="40"/>
      <c r="O44" s="40"/>
      <c r="P44" s="40"/>
      <c r="Q44" s="40"/>
      <c r="R44" s="40"/>
      <c r="S44" s="40"/>
      <c r="T44" s="40"/>
      <c r="U44" s="40"/>
      <c r="V44" s="40"/>
      <c r="W44" s="48"/>
      <c r="X44" s="48"/>
      <c r="Y44" s="48"/>
      <c r="Z44" s="48"/>
      <c r="AA44" s="48"/>
      <c r="AB44" s="40"/>
      <c r="AC44" s="73"/>
      <c r="AD44" s="9"/>
      <c r="AE44" s="188"/>
      <c r="AF44" s="188"/>
      <c r="AG44" s="9"/>
      <c r="AH44" s="9"/>
      <c r="AI44" s="9"/>
      <c r="AJ44" s="9"/>
      <c r="AK44" s="9"/>
      <c r="AL44" s="9"/>
      <c r="AM44" s="9"/>
      <c r="AN44" s="9"/>
    </row>
    <row r="45" spans="1:40" s="7" customFormat="1" ht="12.95" customHeight="1" x14ac:dyDescent="0.2">
      <c r="A45" s="73"/>
      <c r="B45" s="50" t="s">
        <v>23</v>
      </c>
      <c r="C45" s="52"/>
      <c r="D45" s="52"/>
      <c r="E45" s="52"/>
      <c r="F45" s="52"/>
      <c r="G45" s="52"/>
      <c r="H45" s="52"/>
      <c r="I45" s="52"/>
      <c r="J45" s="52"/>
      <c r="K45" s="52"/>
      <c r="L45" s="52"/>
      <c r="M45" s="52"/>
      <c r="N45" s="52"/>
      <c r="O45" s="52"/>
      <c r="P45" s="52"/>
      <c r="Q45" s="52"/>
      <c r="R45" s="52"/>
      <c r="S45" s="52"/>
      <c r="T45" s="52"/>
      <c r="U45" s="52"/>
      <c r="V45" s="52"/>
      <c r="W45" s="61"/>
      <c r="X45" s="61"/>
      <c r="Y45" s="61"/>
      <c r="Z45" s="61"/>
      <c r="AA45" s="61"/>
      <c r="AB45" s="52"/>
      <c r="AC45" s="73"/>
      <c r="AD45" s="9"/>
      <c r="AE45" s="188"/>
      <c r="AF45" s="188"/>
      <c r="AG45" s="9"/>
      <c r="AH45" s="9"/>
      <c r="AI45" s="9"/>
      <c r="AJ45" s="9"/>
      <c r="AK45" s="9"/>
      <c r="AL45" s="9"/>
      <c r="AM45" s="9"/>
      <c r="AN45" s="9"/>
    </row>
    <row r="46" spans="1:40" s="9" customFormat="1" ht="12.95" customHeight="1" x14ac:dyDescent="0.2">
      <c r="A46" s="73"/>
      <c r="B46" s="50"/>
      <c r="C46" s="51"/>
      <c r="D46" s="51"/>
      <c r="E46" s="52"/>
      <c r="F46" s="160"/>
      <c r="G46" s="53"/>
      <c r="H46" s="53"/>
      <c r="I46" s="54"/>
      <c r="J46" s="161"/>
      <c r="K46" s="75"/>
      <c r="L46" s="54"/>
      <c r="M46" s="52" t="s">
        <v>37</v>
      </c>
      <c r="N46" s="54"/>
      <c r="O46" s="54"/>
      <c r="P46" s="52"/>
      <c r="Q46" s="52"/>
      <c r="R46" s="52"/>
      <c r="S46" s="52"/>
      <c r="T46" s="55"/>
      <c r="U46" s="54"/>
      <c r="V46" s="52"/>
      <c r="W46" s="61"/>
      <c r="X46" s="61"/>
      <c r="Y46" s="61"/>
      <c r="Z46" s="61"/>
      <c r="AA46" s="61"/>
      <c r="AB46" s="52"/>
      <c r="AC46" s="73"/>
      <c r="AE46" s="361" t="s">
        <v>49</v>
      </c>
      <c r="AF46" s="362"/>
      <c r="AG46" s="8"/>
    </row>
    <row r="47" spans="1:40" s="11" customFormat="1" ht="12.95" customHeight="1" x14ac:dyDescent="0.2">
      <c r="A47" s="134"/>
      <c r="B47" s="56"/>
      <c r="C47" s="304" t="s">
        <v>24</v>
      </c>
      <c r="D47" s="304" t="s">
        <v>25</v>
      </c>
      <c r="E47" s="63"/>
      <c r="F47" s="64"/>
      <c r="G47" s="298" t="s">
        <v>38</v>
      </c>
      <c r="H47" s="299"/>
      <c r="I47" s="57"/>
      <c r="J47" s="57"/>
      <c r="K47" s="58"/>
      <c r="L47" s="58"/>
      <c r="M47" s="317" t="s">
        <v>42</v>
      </c>
      <c r="N47" s="58"/>
      <c r="O47" s="58"/>
      <c r="P47" s="58"/>
      <c r="Q47" s="302" t="s">
        <v>4</v>
      </c>
      <c r="R47" s="302" t="s">
        <v>5</v>
      </c>
      <c r="S47" s="56"/>
      <c r="T47" s="52"/>
      <c r="U47" s="58"/>
      <c r="V47" s="52"/>
      <c r="W47" s="61"/>
      <c r="X47" s="61"/>
      <c r="Y47" s="61"/>
      <c r="Z47" s="61"/>
      <c r="AA47" s="61"/>
      <c r="AB47" s="52"/>
      <c r="AC47" s="73"/>
      <c r="AD47" s="9"/>
      <c r="AE47" s="363"/>
      <c r="AF47" s="364"/>
      <c r="AG47" s="312" t="s">
        <v>3</v>
      </c>
      <c r="AH47" s="9"/>
      <c r="AI47" s="9"/>
    </row>
    <row r="48" spans="1:40" s="9" customFormat="1" ht="12.95" customHeight="1" x14ac:dyDescent="0.2">
      <c r="A48" s="73"/>
      <c r="B48" s="52"/>
      <c r="C48" s="305"/>
      <c r="D48" s="305"/>
      <c r="E48" s="65"/>
      <c r="F48" s="66"/>
      <c r="G48" s="300"/>
      <c r="H48" s="301"/>
      <c r="I48" s="311" t="s">
        <v>6</v>
      </c>
      <c r="J48" s="54"/>
      <c r="K48" s="59"/>
      <c r="L48" s="59"/>
      <c r="M48" s="318"/>
      <c r="N48" s="133">
        <f>$N$19</f>
        <v>90</v>
      </c>
      <c r="O48" s="295" t="s">
        <v>125</v>
      </c>
      <c r="P48" s="296"/>
      <c r="Q48" s="322"/>
      <c r="R48" s="303"/>
      <c r="S48" s="366" t="s">
        <v>39</v>
      </c>
      <c r="T48" s="367"/>
      <c r="U48" s="59"/>
      <c r="V48" s="52"/>
      <c r="W48" s="61"/>
      <c r="X48" s="61"/>
      <c r="Y48" s="61"/>
      <c r="Z48" s="61"/>
      <c r="AA48" s="61"/>
      <c r="AB48" s="55"/>
      <c r="AC48" s="143"/>
      <c r="AD48" s="12"/>
      <c r="AE48" s="368" t="s">
        <v>47</v>
      </c>
      <c r="AF48" s="368" t="s">
        <v>48</v>
      </c>
      <c r="AG48" s="313"/>
    </row>
    <row r="49" spans="1:40" s="9" customFormat="1" ht="12.95" customHeight="1" x14ac:dyDescent="0.2">
      <c r="A49" s="73"/>
      <c r="B49" s="52"/>
      <c r="C49" s="308"/>
      <c r="D49" s="308"/>
      <c r="E49" s="65"/>
      <c r="F49" s="66"/>
      <c r="G49" s="74" t="s">
        <v>7</v>
      </c>
      <c r="H49" s="62" t="s">
        <v>8</v>
      </c>
      <c r="I49" s="311"/>
      <c r="J49" s="54"/>
      <c r="K49" s="54"/>
      <c r="L49" s="54"/>
      <c r="M49" s="318"/>
      <c r="N49" s="22" t="s">
        <v>9</v>
      </c>
      <c r="O49" s="22" t="s">
        <v>10</v>
      </c>
      <c r="P49" s="62" t="s">
        <v>46</v>
      </c>
      <c r="Q49" s="306"/>
      <c r="R49" s="306"/>
      <c r="S49" s="29" t="s">
        <v>12</v>
      </c>
      <c r="T49" s="29" t="s">
        <v>13</v>
      </c>
      <c r="U49" s="54"/>
      <c r="V49" s="52"/>
      <c r="W49" s="61"/>
      <c r="X49" s="61"/>
      <c r="Y49" s="61"/>
      <c r="Z49" s="61"/>
      <c r="AA49" s="61"/>
      <c r="AB49" s="52"/>
      <c r="AC49" s="73"/>
      <c r="AE49" s="369"/>
      <c r="AF49" s="369"/>
      <c r="AG49" s="314"/>
    </row>
    <row r="50" spans="1:40" s="9" customFormat="1" ht="13.5" customHeight="1" x14ac:dyDescent="0.2">
      <c r="A50" s="73"/>
      <c r="B50" s="52"/>
      <c r="C50" s="21">
        <v>0.1</v>
      </c>
      <c r="D50" s="20">
        <f>-C50</f>
        <v>-0.1</v>
      </c>
      <c r="E50" s="67"/>
      <c r="F50" s="68"/>
      <c r="G50" s="121">
        <f>$G$19</f>
        <v>0.5</v>
      </c>
      <c r="H50" s="121">
        <f>$H$19</f>
        <v>25</v>
      </c>
      <c r="I50" s="25">
        <f>AG50*((NORMSINV(1-G50/100)+NORMSINV(1-H50/100))/(FISHER(D50)-FISHER(C50)))^2+3</f>
        <v>265.35181669032556</v>
      </c>
      <c r="J50" s="60"/>
      <c r="K50" s="60"/>
      <c r="L50" s="60"/>
      <c r="M50" s="20">
        <f>FISHERINV((FISHER(D50)*NORMSINV(1-G50/100)+FISHER(C50)*NORMSINV(1-H50/100))/(NORMSINV(1-G50/100)+NORMSINV(1-H50/100)))</f>
        <v>-5.8625876784864847E-2</v>
      </c>
      <c r="N50" s="28">
        <f>FISHERINV(FISHER(M50)+SQRT(AG50/(I50-3))*NORMSINV((1-N48/100)/2))</f>
        <v>-0.15888676163593268</v>
      </c>
      <c r="O50" s="28">
        <f>FISHERINV(FISHER(M50)+SQRT(AG50/(I50-3))*NORMSINV(1-(1-N48/100)/2))</f>
        <v>4.2831834518055695E-2</v>
      </c>
      <c r="P50" s="28">
        <f>(O50-N50)/2</f>
        <v>0.10085929807699419</v>
      </c>
      <c r="Q50" s="20">
        <f>C50</f>
        <v>0.1</v>
      </c>
      <c r="R50" s="20">
        <f>D50</f>
        <v>-0.1</v>
      </c>
      <c r="S50" s="191">
        <f>NORMSDIST(-IF(R50&gt;Q50,1,-1)*(FISHER(M50)-FISHER(Q50))/SQRT(AG50/(I50-3)))*100</f>
        <v>0.50000000000000089</v>
      </c>
      <c r="T50" s="24">
        <f>NORMSDIST(-IF(R50&gt;Q50,1,-1)*(FISHER(R50)-FISHER(M50))/SQRT(AG50/(I50-3)))*100</f>
        <v>24.999999999999972</v>
      </c>
      <c r="U50" s="60"/>
      <c r="V50" s="52"/>
      <c r="W50" s="61"/>
      <c r="X50" s="61"/>
      <c r="Y50" s="61"/>
      <c r="Z50" s="61"/>
      <c r="AA50" s="61"/>
      <c r="AB50" s="52"/>
      <c r="AC50" s="73"/>
      <c r="AE50" s="187">
        <f>100-100*NORMSDIST(ABS(FISHER(D50))/SQRT(AG50/I50)-NORMSINV(1-H50/100))</f>
        <v>16.854390559881935</v>
      </c>
      <c r="AF50" s="187">
        <f>100-100*NORMSDIST(NORMSINV(1-G50/100)-ABS(FISHER(C50))/SQRT(AG50/I50))</f>
        <v>17.324885085026722</v>
      </c>
      <c r="AG50" s="171">
        <v>1</v>
      </c>
    </row>
    <row r="51" spans="1:40" s="11" customFormat="1" ht="12.95" customHeight="1" x14ac:dyDescent="0.2">
      <c r="A51" s="134"/>
      <c r="B51" s="56"/>
      <c r="C51" s="57"/>
      <c r="D51" s="57"/>
      <c r="E51" s="57"/>
      <c r="F51" s="56"/>
      <c r="G51" s="23" t="str">
        <f>IF(G50&lt;=0.1,"negligible",IF(G50&lt;=0.5,"most unlikely",IF(G50&lt;=5,"very unlikely",IF(G50&lt;=25,"unlikely",IF(G50&lt;=50,"possible","not computed")))))</f>
        <v>most unlikely</v>
      </c>
      <c r="H51" s="23" t="str">
        <f>IF(H50&lt;0.505,"most unlikely",IF(H50&lt;5.01,"very unlikely",IF(H50&lt;25.1,"unlikely",IF(H50&lt;75,"possible",IF(H50&lt;95,"likely",IF(H50&lt;99.5,"very likely","most likely"))))))</f>
        <v>unlikely</v>
      </c>
      <c r="I51" s="57"/>
      <c r="J51" s="57"/>
      <c r="K51" s="56"/>
      <c r="L51" s="56"/>
      <c r="M51" s="175"/>
      <c r="N51" s="56"/>
      <c r="O51" s="56"/>
      <c r="P51" s="56"/>
      <c r="Q51" s="54"/>
      <c r="R51" s="54"/>
      <c r="S51" s="23" t="str">
        <f>IF(S50&lt;0.505,"most unlikely",IF(S50&lt;5.01,"very unlikely",IF(S50&lt;25.01,"unlikely",IF(S50&lt;74.99,"possible",IF(S50&lt;94.99,"likely",IF(S50&lt;99.49,"very likely","most likely"))))))</f>
        <v>most unlikely</v>
      </c>
      <c r="T51" s="23" t="str">
        <f>IF(T50&lt;0.505,"most unlikely",IF(T50&lt;5.01,"very unlikely",IF(T50&lt;24.99,"unlikely",IF(T50&lt;74.99,"possible",IF(T50&lt;94.99,"likely",IF(T50&lt;99.49,"very likely","most likely"))))))</f>
        <v>possible</v>
      </c>
      <c r="U51" s="56"/>
      <c r="V51" s="52"/>
      <c r="W51" s="61"/>
      <c r="X51" s="61"/>
      <c r="Y51" s="61"/>
      <c r="Z51" s="61"/>
      <c r="AA51" s="61"/>
      <c r="AB51" s="52"/>
      <c r="AC51" s="73"/>
      <c r="AD51" s="9"/>
      <c r="AE51" s="9"/>
      <c r="AF51" s="9"/>
      <c r="AG51" s="170"/>
    </row>
    <row r="52" spans="1:40" s="7" customFormat="1" ht="6" customHeight="1" x14ac:dyDescent="0.2">
      <c r="A52" s="73"/>
      <c r="B52" s="52"/>
      <c r="C52" s="52"/>
      <c r="D52" s="52"/>
      <c r="E52" s="52"/>
      <c r="F52" s="52"/>
      <c r="G52" s="52"/>
      <c r="H52" s="52"/>
      <c r="I52" s="52"/>
      <c r="J52" s="52"/>
      <c r="K52" s="52"/>
      <c r="L52" s="52"/>
      <c r="M52" s="52"/>
      <c r="N52" s="52"/>
      <c r="O52" s="52"/>
      <c r="P52" s="52"/>
      <c r="Q52" s="52"/>
      <c r="R52" s="52"/>
      <c r="S52" s="52"/>
      <c r="T52" s="52"/>
      <c r="U52" s="52"/>
      <c r="V52" s="52"/>
      <c r="W52" s="61"/>
      <c r="X52" s="61"/>
      <c r="Y52" s="61"/>
      <c r="Z52" s="61"/>
      <c r="AA52" s="61"/>
      <c r="AB52" s="52"/>
      <c r="AC52" s="73"/>
      <c r="AD52" s="9"/>
      <c r="AE52" s="188"/>
      <c r="AF52" s="188"/>
      <c r="AG52" s="9"/>
      <c r="AH52" s="9"/>
      <c r="AI52" s="9"/>
      <c r="AJ52" s="9"/>
      <c r="AK52" s="9"/>
      <c r="AL52" s="9"/>
      <c r="AM52" s="9"/>
      <c r="AN52" s="9"/>
    </row>
    <row r="53" spans="1:40" s="7" customFormat="1" ht="12.95" customHeight="1" x14ac:dyDescent="0.2">
      <c r="A53" s="73"/>
      <c r="B53" s="211" t="s">
        <v>77</v>
      </c>
      <c r="C53" s="213"/>
      <c r="D53" s="213"/>
      <c r="E53" s="213"/>
      <c r="F53" s="213"/>
      <c r="G53" s="223"/>
      <c r="H53" s="223"/>
      <c r="I53" s="213"/>
      <c r="J53" s="213"/>
      <c r="K53" s="213"/>
      <c r="L53" s="213"/>
      <c r="M53" s="213"/>
      <c r="N53" s="213"/>
      <c r="O53" s="213"/>
      <c r="P53" s="213"/>
      <c r="Q53" s="213"/>
      <c r="R53" s="213"/>
      <c r="S53" s="213"/>
      <c r="T53" s="213"/>
      <c r="U53" s="213"/>
      <c r="V53" s="213"/>
      <c r="W53" s="229"/>
      <c r="X53" s="229"/>
      <c r="Y53" s="229"/>
      <c r="Z53" s="229"/>
      <c r="AA53" s="229"/>
      <c r="AB53" s="213"/>
      <c r="AC53" s="257"/>
      <c r="AD53" s="260"/>
      <c r="AF53" s="188"/>
      <c r="AG53" s="9"/>
      <c r="AH53" s="9"/>
      <c r="AI53" s="9"/>
      <c r="AJ53" s="9"/>
      <c r="AK53" s="9"/>
      <c r="AL53" s="9"/>
      <c r="AM53" s="9"/>
      <c r="AN53" s="9"/>
    </row>
    <row r="54" spans="1:40" s="7" customFormat="1" ht="12.95" customHeight="1" x14ac:dyDescent="0.2">
      <c r="A54" s="73"/>
      <c r="B54" s="213" t="s">
        <v>110</v>
      </c>
      <c r="C54" s="213"/>
      <c r="D54" s="213"/>
      <c r="E54" s="213"/>
      <c r="F54" s="213"/>
      <c r="G54" s="223"/>
      <c r="H54" s="223"/>
      <c r="I54" s="213"/>
      <c r="J54" s="213"/>
      <c r="K54" s="213"/>
      <c r="L54" s="213"/>
      <c r="M54" s="213"/>
      <c r="N54" s="213"/>
      <c r="O54" s="213"/>
      <c r="P54" s="213"/>
      <c r="Q54" s="213"/>
      <c r="R54" s="213"/>
      <c r="S54" s="213"/>
      <c r="T54" s="213"/>
      <c r="U54" s="213"/>
      <c r="V54" s="213"/>
      <c r="W54" s="229"/>
      <c r="X54" s="229"/>
      <c r="Y54" s="229"/>
      <c r="Z54" s="229"/>
      <c r="AA54" s="229"/>
      <c r="AB54" s="213"/>
      <c r="AC54" s="257"/>
      <c r="AD54" s="260"/>
      <c r="AF54" s="188"/>
      <c r="AG54" s="9"/>
      <c r="AH54" s="9"/>
      <c r="AI54" s="9"/>
      <c r="AJ54" s="9"/>
      <c r="AK54" s="9"/>
      <c r="AL54" s="9"/>
      <c r="AM54" s="9"/>
      <c r="AN54" s="9"/>
    </row>
    <row r="55" spans="1:40" s="7" customFormat="1" ht="12.95" customHeight="1" x14ac:dyDescent="0.2">
      <c r="A55" s="73"/>
      <c r="B55" s="213" t="s">
        <v>116</v>
      </c>
      <c r="C55" s="213"/>
      <c r="D55" s="213"/>
      <c r="E55" s="213"/>
      <c r="F55" s="213"/>
      <c r="G55" s="223"/>
      <c r="H55" s="223"/>
      <c r="I55" s="213"/>
      <c r="J55" s="213"/>
      <c r="K55" s="213"/>
      <c r="L55" s="213"/>
      <c r="M55" s="213"/>
      <c r="N55" s="213"/>
      <c r="O55" s="213"/>
      <c r="P55" s="213"/>
      <c r="Q55" s="213"/>
      <c r="R55" s="213"/>
      <c r="S55" s="213"/>
      <c r="T55" s="213"/>
      <c r="U55" s="213"/>
      <c r="V55" s="213"/>
      <c r="W55" s="229"/>
      <c r="X55" s="229"/>
      <c r="Y55" s="229"/>
      <c r="Z55" s="229"/>
      <c r="AA55" s="229"/>
      <c r="AB55" s="213"/>
      <c r="AC55" s="257"/>
      <c r="AD55" s="260"/>
      <c r="AF55" s="188"/>
      <c r="AG55" s="9"/>
      <c r="AH55" s="9"/>
      <c r="AI55" s="9"/>
      <c r="AJ55" s="9"/>
      <c r="AK55" s="9"/>
      <c r="AL55" s="9"/>
      <c r="AM55" s="9"/>
      <c r="AN55" s="9"/>
    </row>
    <row r="56" spans="1:40" s="7" customFormat="1" ht="6.75" customHeight="1" x14ac:dyDescent="0.2">
      <c r="A56" s="73"/>
      <c r="B56" s="211"/>
      <c r="C56" s="213"/>
      <c r="D56" s="213"/>
      <c r="E56" s="213"/>
      <c r="F56" s="213"/>
      <c r="G56" s="223"/>
      <c r="H56" s="223"/>
      <c r="I56" s="213"/>
      <c r="J56" s="213"/>
      <c r="K56" s="213"/>
      <c r="L56" s="213"/>
      <c r="M56" s="213"/>
      <c r="N56" s="213"/>
      <c r="O56" s="213"/>
      <c r="P56" s="213"/>
      <c r="Q56" s="213"/>
      <c r="R56" s="213"/>
      <c r="S56" s="213"/>
      <c r="T56" s="213"/>
      <c r="U56" s="213"/>
      <c r="V56" s="213"/>
      <c r="W56" s="229"/>
      <c r="X56" s="229"/>
      <c r="Y56" s="229"/>
      <c r="Z56" s="229"/>
      <c r="AA56" s="229"/>
      <c r="AB56" s="213"/>
      <c r="AC56" s="73"/>
      <c r="AD56" s="9"/>
      <c r="AE56" s="188"/>
      <c r="AF56" s="188"/>
      <c r="AG56" s="9"/>
      <c r="AH56" s="9"/>
      <c r="AI56" s="9"/>
      <c r="AJ56" s="9"/>
      <c r="AK56" s="9"/>
      <c r="AL56" s="9"/>
      <c r="AM56" s="9"/>
      <c r="AN56" s="9"/>
    </row>
    <row r="57" spans="1:40" s="7" customFormat="1" ht="13.5" customHeight="1" x14ac:dyDescent="0.2">
      <c r="A57" s="73"/>
      <c r="B57" s="211"/>
      <c r="C57" s="324" t="s">
        <v>71</v>
      </c>
      <c r="D57" s="325"/>
      <c r="E57" s="49">
        <v>20</v>
      </c>
      <c r="F57" s="215" t="s">
        <v>80</v>
      </c>
      <c r="G57" s="223"/>
      <c r="H57" s="223"/>
      <c r="I57" s="213"/>
      <c r="J57" s="213"/>
      <c r="K57" s="213"/>
      <c r="L57" s="213"/>
      <c r="M57" s="213"/>
      <c r="N57" s="213"/>
      <c r="O57" s="213"/>
      <c r="P57" s="213"/>
      <c r="Q57" s="213"/>
      <c r="R57" s="213"/>
      <c r="S57" s="213"/>
      <c r="T57" s="213"/>
      <c r="U57" s="213"/>
      <c r="V57" s="213"/>
      <c r="W57" s="229"/>
      <c r="X57" s="229"/>
      <c r="Y57" s="229"/>
      <c r="Z57" s="229"/>
      <c r="AA57" s="229"/>
      <c r="AB57" s="213"/>
      <c r="AC57" s="73"/>
      <c r="AD57" s="9"/>
      <c r="AE57" s="188"/>
      <c r="AF57" s="188"/>
      <c r="AG57" s="9"/>
      <c r="AH57" s="9"/>
      <c r="AI57" s="9"/>
      <c r="AJ57" s="9"/>
      <c r="AK57" s="9"/>
      <c r="AL57" s="9"/>
      <c r="AM57" s="9"/>
      <c r="AN57" s="9"/>
    </row>
    <row r="58" spans="1:40" s="7" customFormat="1" ht="12" customHeight="1" x14ac:dyDescent="0.2">
      <c r="A58" s="73"/>
      <c r="B58" s="211"/>
      <c r="C58" s="326"/>
      <c r="D58" s="327"/>
      <c r="E58" s="224"/>
      <c r="F58" s="213"/>
      <c r="G58" s="223"/>
      <c r="H58" s="223"/>
      <c r="I58" s="213"/>
      <c r="J58" s="213"/>
      <c r="K58" s="213"/>
      <c r="L58" s="213"/>
      <c r="M58" s="215" t="s">
        <v>114</v>
      </c>
      <c r="N58" s="213"/>
      <c r="O58" s="213"/>
      <c r="P58" s="213"/>
      <c r="Q58" s="213"/>
      <c r="R58" s="213"/>
      <c r="S58" s="213"/>
      <c r="T58" s="213"/>
      <c r="U58" s="213"/>
      <c r="V58" s="213"/>
      <c r="W58" s="229"/>
      <c r="X58" s="229"/>
      <c r="Y58" s="229"/>
      <c r="Z58" s="229"/>
      <c r="AA58" s="229"/>
      <c r="AB58" s="213"/>
      <c r="AC58" s="73"/>
      <c r="AD58" s="9"/>
      <c r="AE58" s="188"/>
      <c r="AF58" s="188"/>
      <c r="AG58" s="9"/>
      <c r="AH58" s="9"/>
      <c r="AI58" s="9"/>
      <c r="AJ58" s="9"/>
      <c r="AK58" s="9"/>
      <c r="AL58" s="9"/>
      <c r="AM58" s="9"/>
      <c r="AN58" s="9"/>
    </row>
    <row r="59" spans="1:40" s="7" customFormat="1" ht="12" customHeight="1" x14ac:dyDescent="0.2">
      <c r="A59" s="73"/>
      <c r="B59" s="211"/>
      <c r="C59" s="224"/>
      <c r="D59" s="224"/>
      <c r="E59" s="304" t="s">
        <v>79</v>
      </c>
      <c r="F59" s="307" t="s">
        <v>62</v>
      </c>
      <c r="G59" s="225"/>
      <c r="H59" s="225"/>
      <c r="I59" s="216"/>
      <c r="J59" s="216"/>
      <c r="K59" s="216"/>
      <c r="L59" s="216"/>
      <c r="M59" s="215" t="s">
        <v>115</v>
      </c>
      <c r="N59" s="216"/>
      <c r="O59" s="216"/>
      <c r="P59" s="216"/>
      <c r="Q59" s="216"/>
      <c r="R59" s="216"/>
      <c r="S59" s="216"/>
      <c r="T59" s="216"/>
      <c r="U59" s="216"/>
      <c r="V59" s="213"/>
      <c r="W59" s="229"/>
      <c r="X59" s="229"/>
      <c r="Y59" s="229"/>
      <c r="Z59" s="229"/>
      <c r="AA59" s="229"/>
      <c r="AB59" s="216"/>
      <c r="AC59" s="127"/>
      <c r="AD59" s="8"/>
      <c r="AE59" s="361" t="s">
        <v>49</v>
      </c>
      <c r="AF59" s="362"/>
      <c r="AG59" s="169"/>
      <c r="AH59" s="9"/>
      <c r="AI59" s="9"/>
      <c r="AJ59" s="9"/>
      <c r="AK59" s="9"/>
      <c r="AL59" s="12"/>
      <c r="AM59" s="9"/>
      <c r="AN59" s="9"/>
    </row>
    <row r="60" spans="1:40" ht="19.899999999999999" customHeight="1" x14ac:dyDescent="0.2">
      <c r="A60" s="134"/>
      <c r="B60" s="212"/>
      <c r="C60" s="304" t="s">
        <v>75</v>
      </c>
      <c r="D60" s="304" t="s">
        <v>52</v>
      </c>
      <c r="E60" s="305"/>
      <c r="F60" s="307"/>
      <c r="G60" s="298" t="s">
        <v>38</v>
      </c>
      <c r="H60" s="299"/>
      <c r="I60" s="297" t="s">
        <v>6</v>
      </c>
      <c r="J60" s="297"/>
      <c r="K60" s="297"/>
      <c r="L60" s="212"/>
      <c r="M60" s="317" t="s">
        <v>107</v>
      </c>
      <c r="N60" s="227"/>
      <c r="O60" s="212"/>
      <c r="P60" s="212"/>
      <c r="Q60" s="302" t="s">
        <v>108</v>
      </c>
      <c r="R60" s="302" t="s">
        <v>109</v>
      </c>
      <c r="S60" s="212"/>
      <c r="T60" s="213"/>
      <c r="U60" s="212"/>
      <c r="V60" s="213"/>
      <c r="W60" s="229"/>
      <c r="X60" s="229"/>
      <c r="Y60" s="229"/>
      <c r="Z60" s="229"/>
      <c r="AA60" s="229"/>
      <c r="AB60" s="212"/>
      <c r="AC60" s="134"/>
      <c r="AE60" s="363"/>
      <c r="AF60" s="364"/>
      <c r="AG60" s="312" t="s">
        <v>3</v>
      </c>
      <c r="AL60" s="9"/>
      <c r="AM60" s="9"/>
      <c r="AN60" s="9"/>
    </row>
    <row r="61" spans="1:40" s="7" customFormat="1" ht="12.95" customHeight="1" x14ac:dyDescent="0.2">
      <c r="A61" s="73"/>
      <c r="B61" s="213"/>
      <c r="C61" s="305"/>
      <c r="D61" s="305"/>
      <c r="E61" s="305"/>
      <c r="F61" s="307"/>
      <c r="G61" s="300"/>
      <c r="H61" s="301"/>
      <c r="I61" s="315" t="s">
        <v>26</v>
      </c>
      <c r="J61" s="309" t="s">
        <v>59</v>
      </c>
      <c r="K61" s="309"/>
      <c r="L61" s="216"/>
      <c r="M61" s="318"/>
      <c r="N61" s="133">
        <f>$N$19</f>
        <v>90</v>
      </c>
      <c r="O61" s="295" t="s">
        <v>125</v>
      </c>
      <c r="P61" s="296"/>
      <c r="Q61" s="322"/>
      <c r="R61" s="303"/>
      <c r="S61" s="366" t="s">
        <v>39</v>
      </c>
      <c r="T61" s="367"/>
      <c r="U61" s="216"/>
      <c r="V61" s="213"/>
      <c r="W61" s="229"/>
      <c r="X61" s="229"/>
      <c r="Y61" s="229"/>
      <c r="Z61" s="229"/>
      <c r="AA61" s="229"/>
      <c r="AB61" s="215"/>
      <c r="AC61" s="130"/>
      <c r="AD61" s="259"/>
      <c r="AE61" s="368" t="s">
        <v>47</v>
      </c>
      <c r="AF61" s="368" t="s">
        <v>48</v>
      </c>
      <c r="AG61" s="313"/>
      <c r="AH61" s="9"/>
      <c r="AI61" s="9"/>
      <c r="AJ61" s="9"/>
      <c r="AK61" s="9"/>
      <c r="AL61" s="12"/>
      <c r="AM61" s="9"/>
      <c r="AN61" s="9"/>
    </row>
    <row r="62" spans="1:40" s="7" customFormat="1" ht="12.95" customHeight="1" x14ac:dyDescent="0.2">
      <c r="A62" s="73"/>
      <c r="B62" s="213"/>
      <c r="C62" s="308"/>
      <c r="D62" s="308"/>
      <c r="E62" s="49"/>
      <c r="F62" s="307"/>
      <c r="G62" s="74" t="s">
        <v>7</v>
      </c>
      <c r="H62" s="62" t="s">
        <v>8</v>
      </c>
      <c r="I62" s="316"/>
      <c r="J62" s="22" t="s">
        <v>60</v>
      </c>
      <c r="K62" s="22" t="s">
        <v>61</v>
      </c>
      <c r="L62" s="216"/>
      <c r="M62" s="318"/>
      <c r="N62" s="22" t="s">
        <v>9</v>
      </c>
      <c r="O62" s="22" t="s">
        <v>10</v>
      </c>
      <c r="P62" s="22" t="s">
        <v>11</v>
      </c>
      <c r="Q62" s="306"/>
      <c r="R62" s="306"/>
      <c r="S62" s="29" t="s">
        <v>12</v>
      </c>
      <c r="T62" s="29" t="s">
        <v>13</v>
      </c>
      <c r="U62" s="216"/>
      <c r="V62" s="213"/>
      <c r="W62" s="229"/>
      <c r="X62" s="229"/>
      <c r="Y62" s="229"/>
      <c r="Z62" s="229"/>
      <c r="AA62" s="229"/>
      <c r="AB62" s="216"/>
      <c r="AC62" s="127"/>
      <c r="AD62" s="8"/>
      <c r="AE62" s="369"/>
      <c r="AF62" s="369"/>
      <c r="AG62" s="314"/>
      <c r="AH62" s="9"/>
      <c r="AI62" s="9"/>
      <c r="AJ62" s="9"/>
      <c r="AK62" s="173"/>
      <c r="AL62" s="173"/>
      <c r="AM62" s="173"/>
      <c r="AN62" s="12"/>
    </row>
    <row r="63" spans="1:40" s="7" customFormat="1" ht="13.5" customHeight="1" x14ac:dyDescent="0.2">
      <c r="A63" s="73"/>
      <c r="B63" s="213"/>
      <c r="C63" s="21">
        <v>1.1100000000000001</v>
      </c>
      <c r="D63" s="20">
        <f>1/C63</f>
        <v>0.9009009009009008</v>
      </c>
      <c r="E63" s="270">
        <f>IF(ISBLANK(E62),SQRT(E57),E62)</f>
        <v>4.4721359549995796</v>
      </c>
      <c r="F63" s="49">
        <v>50</v>
      </c>
      <c r="G63" s="121">
        <f>$G$19</f>
        <v>0.5</v>
      </c>
      <c r="H63" s="121">
        <f>$H$19</f>
        <v>25</v>
      </c>
      <c r="I63" s="25">
        <f>AG63*((NORMSINV(1-G63/100)+NORMSINV(1-H63/100))/(C63*E57-E57*D63))^2</f>
        <v>48.325645062648299</v>
      </c>
      <c r="J63" s="24">
        <f>F63/100*I63</f>
        <v>24.162822531324149</v>
      </c>
      <c r="K63" s="24">
        <f>I63-J63</f>
        <v>24.162822531324149</v>
      </c>
      <c r="L63" s="221"/>
      <c r="M63" s="270">
        <f>((D63-1)*E57*NORMSINV(1-G63/100)+(C63-1)*E57*NORMSINV(1-H63/100))/(NORMSINV(1-G63/100)+NORMSINV(1-H63/100))</f>
        <v>-1.1141582589226857</v>
      </c>
      <c r="N63" s="191">
        <f>M63-SQRT(AG63/I63)*TINV(1-N61/100,I63-2)</f>
        <v>-3.2739854904286902</v>
      </c>
      <c r="O63" s="191">
        <f>M63+SQRT(AG63/I63)*TINV(1-N61/100,I63-2)</f>
        <v>1.0456689725833188</v>
      </c>
      <c r="P63" s="191">
        <f>(O63-N63)/2</f>
        <v>2.1598272315060045</v>
      </c>
      <c r="Q63" s="270">
        <f>C63*E57-E57</f>
        <v>2.2000000000000028</v>
      </c>
      <c r="R63" s="270">
        <f>D63*E57-E57</f>
        <v>-1.9819819819819848</v>
      </c>
      <c r="S63" s="191">
        <f>NORMSDIST(-IF(R63&gt;Q63,1,-1)*(M63-Q63)/SQRT(AG63/I63))*100</f>
        <v>0.50000000000000089</v>
      </c>
      <c r="T63" s="24">
        <f>NORMSDIST(-IF(R63&gt;Q63,1,-1)*(R63-M63)/SQRT(AG63/I63))*100</f>
        <v>24.999999999999972</v>
      </c>
      <c r="U63" s="221"/>
      <c r="V63" s="213"/>
      <c r="W63" s="229"/>
      <c r="X63" s="229"/>
      <c r="Y63" s="229"/>
      <c r="Z63" s="229"/>
      <c r="AA63" s="229"/>
      <c r="AB63" s="221"/>
      <c r="AC63" s="142"/>
      <c r="AD63" s="178"/>
      <c r="AE63" s="187">
        <f>100-100*NORMSDIST(ABS(LN(D63))/SQRT(AG63/I63)-NORMSINV(1-H63/100))</f>
        <v>72.353625814621338</v>
      </c>
      <c r="AF63" s="187">
        <f>100-100*NORMSDIST(NORMSINV(1-G63/100)-ABS(LN(C63))/SQRT(AG63/I63))</f>
        <v>0.63028520499203466</v>
      </c>
      <c r="AG63" s="171">
        <f>E63^2/(F63/100*(1-F63/100))</f>
        <v>80.000000000000014</v>
      </c>
      <c r="AH63" s="9"/>
      <c r="AI63" s="9"/>
      <c r="AJ63" s="9"/>
      <c r="AK63" s="136"/>
      <c r="AL63" s="136"/>
      <c r="AM63" s="136"/>
      <c r="AN63" s="9"/>
    </row>
    <row r="64" spans="1:40" ht="12.95" customHeight="1" x14ac:dyDescent="0.2">
      <c r="A64" s="134"/>
      <c r="B64" s="212"/>
      <c r="C64" s="220"/>
      <c r="D64" s="220"/>
      <c r="E64" s="220"/>
      <c r="F64" s="212"/>
      <c r="G64" s="23" t="str">
        <f>IF(G63&lt;=0.1,"negligible",IF(G63&lt;=0.5,"most unlikely",IF(G63&lt;=5,"very unlikely",IF(G63&lt;=25,"unlikely",IF(G63&lt;=50,"possible","not computed")))))</f>
        <v>most unlikely</v>
      </c>
      <c r="H64" s="23" t="str">
        <f>IF(H63&lt;0.505,"most unlikely",IF(H63&lt;5.01,"very unlikely",IF(H63&lt;25.1,"unlikely",IF(H63&lt;75,"possible",IF(H63&lt;95,"likely",IF(H63&lt;99.5,"very likely","most likely"))))))</f>
        <v>unlikely</v>
      </c>
      <c r="I64" s="226"/>
      <c r="J64" s="228"/>
      <c r="K64" s="212"/>
      <c r="L64" s="212"/>
      <c r="M64" s="227"/>
      <c r="N64" s="212"/>
      <c r="O64" s="212"/>
      <c r="P64" s="212"/>
      <c r="Q64" s="216"/>
      <c r="R64" s="216"/>
      <c r="S64" s="23" t="str">
        <f>IF(S63&lt;0.505,"most unlikely",IF(S63&lt;5.01,"very unlikely",IF(S63&lt;25.01,"unlikely",IF(S63&lt;74.99,"possible",IF(S63&lt;94.99,"likely",IF(S63&lt;99.49,"very likely","most likely"))))))</f>
        <v>most unlikely</v>
      </c>
      <c r="T64" s="23" t="str">
        <f>IF(T63&lt;0.505,"most unlikely",IF(T63&lt;5.01,"very unlikely",IF(T63&lt;24.99,"unlikely",IF(T63&lt;74.99,"possible",IF(T63&lt;94.99,"likely",IF(T63&lt;99.49,"very likely","most likely"))))))</f>
        <v>possible</v>
      </c>
      <c r="U64" s="212"/>
      <c r="V64" s="213"/>
      <c r="W64" s="229"/>
      <c r="X64" s="229"/>
      <c r="Y64" s="229"/>
      <c r="Z64" s="229"/>
      <c r="AA64" s="229"/>
      <c r="AB64" s="212"/>
      <c r="AC64" s="134"/>
      <c r="AE64" s="9"/>
      <c r="AF64" s="9"/>
      <c r="AG64" s="170"/>
    </row>
    <row r="65" spans="1:40" s="7" customFormat="1" ht="6.95" customHeight="1" x14ac:dyDescent="0.2">
      <c r="A65" s="73"/>
      <c r="B65" s="213"/>
      <c r="C65" s="213"/>
      <c r="D65" s="213"/>
      <c r="E65" s="213"/>
      <c r="F65" s="213"/>
      <c r="G65" s="223"/>
      <c r="H65" s="223"/>
      <c r="I65" s="213"/>
      <c r="J65" s="213"/>
      <c r="K65" s="213"/>
      <c r="L65" s="213"/>
      <c r="M65" s="213"/>
      <c r="N65" s="213"/>
      <c r="O65" s="213"/>
      <c r="P65" s="213"/>
      <c r="Q65" s="213"/>
      <c r="R65" s="213"/>
      <c r="S65" s="213"/>
      <c r="T65" s="213"/>
      <c r="U65" s="213"/>
      <c r="V65" s="213"/>
      <c r="W65" s="229"/>
      <c r="X65" s="229"/>
      <c r="Y65" s="229"/>
      <c r="Z65" s="229"/>
      <c r="AA65" s="229"/>
      <c r="AB65" s="213"/>
      <c r="AC65" s="73"/>
      <c r="AD65" s="9"/>
      <c r="AE65" s="188"/>
      <c r="AF65" s="188"/>
      <c r="AG65" s="9"/>
      <c r="AH65" s="9"/>
      <c r="AI65" s="9"/>
      <c r="AJ65" s="9"/>
      <c r="AK65" s="9"/>
      <c r="AL65" s="9"/>
      <c r="AM65" s="9"/>
      <c r="AN65" s="9"/>
    </row>
    <row r="66" spans="1:40" ht="12.95" customHeight="1" x14ac:dyDescent="0.2">
      <c r="A66" s="134"/>
      <c r="B66" s="76" t="s">
        <v>82</v>
      </c>
      <c r="C66" s="77"/>
      <c r="D66" s="77"/>
      <c r="E66" s="77"/>
      <c r="F66" s="77"/>
      <c r="G66" s="83"/>
      <c r="H66" s="83"/>
      <c r="I66" s="77"/>
      <c r="J66" s="77"/>
      <c r="K66" s="77"/>
      <c r="L66" s="77"/>
      <c r="M66" s="77"/>
      <c r="N66" s="82"/>
      <c r="O66" s="82"/>
      <c r="P66" s="82"/>
      <c r="Q66" s="82"/>
      <c r="R66" s="82"/>
      <c r="S66" s="77"/>
      <c r="T66" s="79"/>
      <c r="U66" s="77"/>
      <c r="V66" s="77"/>
      <c r="W66" s="77"/>
      <c r="X66" s="77"/>
      <c r="Y66" s="77"/>
      <c r="Z66" s="77"/>
      <c r="AA66" s="77"/>
      <c r="AB66" s="79"/>
      <c r="AC66" s="73"/>
      <c r="AD66" s="9"/>
      <c r="AG66" s="172"/>
    </row>
    <row r="67" spans="1:40" ht="5.45" customHeight="1" x14ac:dyDescent="0.2">
      <c r="A67" s="134"/>
      <c r="B67" s="76"/>
      <c r="C67" s="77"/>
      <c r="D67" s="77"/>
      <c r="E67" s="77"/>
      <c r="F67" s="77"/>
      <c r="G67" s="83"/>
      <c r="H67" s="83"/>
      <c r="I67" s="77"/>
      <c r="J67" s="77"/>
      <c r="K67" s="77"/>
      <c r="L67" s="77"/>
      <c r="M67" s="77"/>
      <c r="N67" s="82"/>
      <c r="O67" s="82"/>
      <c r="P67" s="82"/>
      <c r="Q67" s="82"/>
      <c r="R67" s="82"/>
      <c r="S67" s="77"/>
      <c r="T67" s="79"/>
      <c r="U67" s="77"/>
      <c r="V67" s="77"/>
      <c r="W67" s="77"/>
      <c r="X67" s="77"/>
      <c r="Y67" s="77"/>
      <c r="Z67" s="77"/>
      <c r="AA67" s="77"/>
      <c r="AB67" s="79"/>
      <c r="AC67" s="73"/>
      <c r="AD67" s="9"/>
      <c r="AG67" s="172"/>
    </row>
    <row r="68" spans="1:40" ht="12" customHeight="1" x14ac:dyDescent="0.2">
      <c r="A68" s="134"/>
      <c r="B68" s="76"/>
      <c r="C68" s="304" t="s">
        <v>57</v>
      </c>
      <c r="D68" s="304" t="s">
        <v>58</v>
      </c>
      <c r="E68" s="304" t="s">
        <v>103</v>
      </c>
      <c r="F68" s="77"/>
      <c r="G68" s="83"/>
      <c r="H68" s="389" t="s">
        <v>67</v>
      </c>
      <c r="I68" s="62" t="s">
        <v>69</v>
      </c>
      <c r="J68" s="62" t="s">
        <v>68</v>
      </c>
      <c r="K68" s="77"/>
      <c r="L68" s="77"/>
      <c r="M68" s="77"/>
      <c r="N68" s="82"/>
      <c r="O68" s="82"/>
      <c r="P68" s="82"/>
      <c r="Q68" s="82"/>
      <c r="R68" s="82"/>
      <c r="S68" s="77"/>
      <c r="T68" s="79"/>
      <c r="U68" s="77"/>
      <c r="V68" s="77"/>
      <c r="W68" s="77"/>
      <c r="X68" s="77"/>
      <c r="Y68" s="77"/>
      <c r="Z68" s="77"/>
      <c r="AA68" s="77"/>
      <c r="AB68" s="79"/>
      <c r="AC68" s="73"/>
      <c r="AD68" s="9"/>
      <c r="AG68" s="172"/>
    </row>
    <row r="69" spans="1:40" ht="12.75" customHeight="1" x14ac:dyDescent="0.2">
      <c r="A69" s="134"/>
      <c r="B69" s="76"/>
      <c r="C69" s="305"/>
      <c r="D69" s="305"/>
      <c r="E69" s="305"/>
      <c r="F69" s="77"/>
      <c r="G69" s="83"/>
      <c r="H69" s="390"/>
      <c r="I69" s="235">
        <f>IF(ISNUMBER(C74),(E74+C74)/(100-E74-C74)/((E74)/(100-E74)),IF(ISNUMBER(C73),C73,IF(ISNUMBER(C72),(1-(1-E74/100)^C72)/(1-E74/100)^C72/(E74/(100-E74)),IF(ISNUMBER(C71),C71*(1-E74/100)/(1-C71*E74/100),""))))</f>
        <v>1.1165707700138165</v>
      </c>
      <c r="J69" s="235">
        <f>IF(ISNUMBER(D74),(E74+D74)/(100-E74-D74)/((E74)/(100-E74)),IF(ISNUMBER(D73),D73,IF(ISNUMBER(D72),(1-(1-E74/100)^D72)/(1-E74/100)^D72/(E74/(100-E74)),IF(ISNUMBER(D71),D71*(1-E74/100)/(1-D71*E74/100),""))))</f>
        <v>0.89613187221912105</v>
      </c>
      <c r="K69" s="77"/>
      <c r="L69" s="77"/>
      <c r="M69" s="77" t="s">
        <v>37</v>
      </c>
      <c r="N69" s="82"/>
      <c r="O69" s="82"/>
      <c r="P69" s="82"/>
      <c r="Q69" s="82"/>
      <c r="R69" s="82"/>
      <c r="S69" s="77"/>
      <c r="T69" s="79"/>
      <c r="U69" s="77"/>
      <c r="V69" s="77"/>
      <c r="W69" s="77"/>
      <c r="X69" s="77"/>
      <c r="Y69" s="77"/>
      <c r="Z69" s="77"/>
      <c r="AA69" s="77"/>
      <c r="AB69" s="79"/>
      <c r="AC69" s="73"/>
      <c r="AD69" s="9"/>
      <c r="AG69" s="172"/>
    </row>
    <row r="70" spans="1:40" ht="12.75" customHeight="1" x14ac:dyDescent="0.2">
      <c r="A70" s="134"/>
      <c r="B70" s="76"/>
      <c r="C70" s="308"/>
      <c r="D70" s="308"/>
      <c r="E70" s="305"/>
      <c r="F70" s="304" t="s">
        <v>102</v>
      </c>
      <c r="G70" s="77"/>
      <c r="H70" s="77"/>
      <c r="I70" s="77"/>
      <c r="J70" s="77"/>
      <c r="K70" s="77"/>
      <c r="L70" s="77"/>
      <c r="M70" s="77" t="s">
        <v>113</v>
      </c>
      <c r="N70" s="77"/>
      <c r="O70" s="77"/>
      <c r="P70" s="77"/>
      <c r="Q70" s="77"/>
      <c r="R70" s="79"/>
      <c r="S70" s="79"/>
      <c r="T70" s="77"/>
      <c r="U70" s="77"/>
      <c r="V70" s="77"/>
      <c r="W70" s="77"/>
      <c r="X70" s="77"/>
      <c r="Y70" s="77"/>
      <c r="Z70" s="77"/>
      <c r="AA70" s="77"/>
      <c r="AB70" s="77"/>
      <c r="AC70" s="134"/>
      <c r="AE70" s="361" t="s">
        <v>49</v>
      </c>
      <c r="AF70" s="362"/>
    </row>
    <row r="71" spans="1:40" ht="13.5" customHeight="1" x14ac:dyDescent="0.2">
      <c r="A71" s="134"/>
      <c r="B71" s="233" t="s">
        <v>56</v>
      </c>
      <c r="C71" s="231"/>
      <c r="D71" s="20" t="str">
        <f>IF(ISNUMBER(C71),1/C71,"")</f>
        <v/>
      </c>
      <c r="E71" s="305"/>
      <c r="F71" s="305"/>
      <c r="G71" s="387" t="s">
        <v>38</v>
      </c>
      <c r="H71" s="299"/>
      <c r="I71" s="297" t="s">
        <v>6</v>
      </c>
      <c r="J71" s="297"/>
      <c r="K71" s="297"/>
      <c r="L71" s="80"/>
      <c r="M71" s="317" t="s">
        <v>64</v>
      </c>
      <c r="N71" s="80"/>
      <c r="O71" s="80"/>
      <c r="P71" s="80"/>
      <c r="Q71" s="302" t="s">
        <v>65</v>
      </c>
      <c r="R71" s="302" t="s">
        <v>66</v>
      </c>
      <c r="S71" s="77"/>
      <c r="T71" s="79"/>
      <c r="U71" s="80"/>
      <c r="V71" s="77"/>
      <c r="W71" s="77"/>
      <c r="X71" s="77"/>
      <c r="Y71" s="77"/>
      <c r="Z71" s="77"/>
      <c r="AA71" s="77"/>
      <c r="AB71" s="79"/>
      <c r="AC71" s="73"/>
      <c r="AD71" s="9"/>
      <c r="AE71" s="363"/>
      <c r="AF71" s="364"/>
      <c r="AG71" s="312" t="s">
        <v>3</v>
      </c>
    </row>
    <row r="72" spans="1:40" ht="13.5" customHeight="1" x14ac:dyDescent="0.2">
      <c r="A72" s="134"/>
      <c r="B72" s="232" t="s">
        <v>54</v>
      </c>
      <c r="C72" s="231">
        <v>1.1100000000000001</v>
      </c>
      <c r="D72" s="20">
        <f>IF(ISNUMBER(C72),1/C72,"")</f>
        <v>0.9009009009009008</v>
      </c>
      <c r="E72" s="305"/>
      <c r="F72" s="305"/>
      <c r="G72" s="388"/>
      <c r="H72" s="301"/>
      <c r="I72" s="315" t="s">
        <v>26</v>
      </c>
      <c r="J72" s="309" t="s">
        <v>59</v>
      </c>
      <c r="K72" s="309"/>
      <c r="L72" s="80"/>
      <c r="M72" s="318"/>
      <c r="N72" s="133">
        <f>$N$19</f>
        <v>90</v>
      </c>
      <c r="O72" s="295" t="s">
        <v>125</v>
      </c>
      <c r="P72" s="296"/>
      <c r="Q72" s="322"/>
      <c r="R72" s="303"/>
      <c r="S72" s="366" t="s">
        <v>39</v>
      </c>
      <c r="T72" s="367"/>
      <c r="U72" s="80"/>
      <c r="V72" s="77"/>
      <c r="W72" s="77"/>
      <c r="X72" s="77"/>
      <c r="Y72" s="77"/>
      <c r="Z72" s="77"/>
      <c r="AA72" s="77"/>
      <c r="AB72" s="77"/>
      <c r="AC72" s="134"/>
      <c r="AE72" s="368" t="s">
        <v>47</v>
      </c>
      <c r="AF72" s="368" t="s">
        <v>48</v>
      </c>
      <c r="AG72" s="313"/>
    </row>
    <row r="73" spans="1:40" ht="13.5" customHeight="1" x14ac:dyDescent="0.2">
      <c r="A73" s="134"/>
      <c r="B73" s="232" t="s">
        <v>55</v>
      </c>
      <c r="C73" s="231"/>
      <c r="D73" s="20" t="str">
        <f>IF(ISNUMBER(C73),1/C73,"")</f>
        <v/>
      </c>
      <c r="E73" s="308"/>
      <c r="F73" s="308"/>
      <c r="G73" s="272" t="s">
        <v>7</v>
      </c>
      <c r="H73" s="62" t="s">
        <v>8</v>
      </c>
      <c r="I73" s="316"/>
      <c r="J73" s="22" t="s">
        <v>60</v>
      </c>
      <c r="K73" s="22" t="s">
        <v>61</v>
      </c>
      <c r="L73" s="80"/>
      <c r="M73" s="318"/>
      <c r="N73" s="22" t="s">
        <v>9</v>
      </c>
      <c r="O73" s="22" t="s">
        <v>10</v>
      </c>
      <c r="P73" s="22" t="s">
        <v>51</v>
      </c>
      <c r="Q73" s="306"/>
      <c r="R73" s="306"/>
      <c r="S73" s="29" t="s">
        <v>12</v>
      </c>
      <c r="T73" s="29" t="s">
        <v>13</v>
      </c>
      <c r="U73" s="80"/>
      <c r="V73" s="77"/>
      <c r="W73" s="77"/>
      <c r="X73" s="77"/>
      <c r="Y73" s="77"/>
      <c r="Z73" s="77"/>
      <c r="AA73" s="77"/>
      <c r="AB73" s="77"/>
      <c r="AC73" s="134"/>
      <c r="AE73" s="369"/>
      <c r="AF73" s="369"/>
      <c r="AG73" s="314"/>
    </row>
    <row r="74" spans="1:40" ht="13.5" customHeight="1" x14ac:dyDescent="0.2">
      <c r="A74" s="134"/>
      <c r="B74" s="230" t="s">
        <v>112</v>
      </c>
      <c r="C74" s="231"/>
      <c r="D74" s="121" t="str">
        <f>IF(ISNUMBER(C74),-C74,"")</f>
        <v/>
      </c>
      <c r="E74" s="49">
        <v>10</v>
      </c>
      <c r="F74" s="49">
        <v>50</v>
      </c>
      <c r="G74" s="121">
        <f>$G$19</f>
        <v>0.5</v>
      </c>
      <c r="H74" s="121">
        <f>$H$19</f>
        <v>25</v>
      </c>
      <c r="I74" s="25">
        <f>AG74*((NORMSINV(1-G74/100)+NORMSINV(1-H74/100))/(LN(J69)-LN(I69)))^2</f>
        <v>9302.5661201051116</v>
      </c>
      <c r="J74" s="24">
        <f>F74/100*I74</f>
        <v>4651.2830600525558</v>
      </c>
      <c r="K74" s="24">
        <f>I74-J74</f>
        <v>4651.2830600525558</v>
      </c>
      <c r="L74" s="81"/>
      <c r="M74" s="20">
        <f>EXP((LN(J69)*NORMSINV(1-G74/100)+LN(I69)*NORMSINV(1-H74/100))/(NORMSINV(1-G74/100)+NORMSINV(1-H74/100)))</f>
        <v>0.93797783123918688</v>
      </c>
      <c r="N74" s="28">
        <f>EXP(LN(M74)+SQRT(AG74/I74)*NORMSINV((1-N72/100)/2))</f>
        <v>0.83918299571685395</v>
      </c>
      <c r="O74" s="28">
        <f>EXP(LN(M74)+SQRT(AG74/I74)*NORMSINV(1-(1-N72/100)/2))</f>
        <v>1.0484035262709492</v>
      </c>
      <c r="P74" s="28">
        <f>SQRT(O74/N74)</f>
        <v>1.1177274039471445</v>
      </c>
      <c r="Q74" s="20">
        <f>I69</f>
        <v>1.1165707700138165</v>
      </c>
      <c r="R74" s="20">
        <f>J69</f>
        <v>0.89613187221912105</v>
      </c>
      <c r="S74" s="191">
        <f>NORMSDIST(-IF(LN(R74)&gt;LN(Q74),1,-1)*(LN(M74)-LN(Q74))/SQRT(AG74/I74))*100</f>
        <v>0.50000000000000144</v>
      </c>
      <c r="T74" s="24">
        <f>NORMSDIST(-IF(LN(R74)&gt;LN(Q74),1,-1)*(LN(R74)-LN(M74))/SQRT(AG74/I74))*100</f>
        <v>24.999999999999968</v>
      </c>
      <c r="U74" s="81"/>
      <c r="V74" s="77"/>
      <c r="W74" s="77"/>
      <c r="X74" s="77"/>
      <c r="Y74" s="77"/>
      <c r="Z74" s="77"/>
      <c r="AA74" s="77"/>
      <c r="AB74" s="77"/>
      <c r="AC74" s="134"/>
      <c r="AE74" s="187">
        <f>100-100*NORMSDIST(ABS(LN(J69))/SQRT(AG74/I74)-NORMSINV(1-H74/100))</f>
        <v>17.200368213513272</v>
      </c>
      <c r="AF74" s="187">
        <f>100-100*NORMSDIST(NORMSINV(1-G74/100)-ABS(LN(I69))/SQRT(AG74/I74))</f>
        <v>17.200368213513286</v>
      </c>
      <c r="AG74" s="171">
        <f>(1/(F74/100))*(1+1/(I69*E74/(100-E74))+1+I69*E74/(100-E74)) + (1/(1-F74/100))*(1/(E74/100)+1/(1-E74/100))</f>
        <v>42.591136459602708</v>
      </c>
    </row>
    <row r="75" spans="1:40" ht="13.15" customHeight="1" x14ac:dyDescent="0.2">
      <c r="A75" s="134"/>
      <c r="B75" s="77"/>
      <c r="C75" s="234" t="str">
        <f>IF(COUNTA(C71:C74)=1,"","Error: show only one harmful effect")</f>
        <v/>
      </c>
      <c r="D75" s="234"/>
      <c r="E75" s="234"/>
      <c r="F75" s="234"/>
      <c r="G75" s="23" t="str">
        <f>IF(G74&lt;=0.1,"negligible",IF(G74&lt;=0.5,"most unlikely",IF(G74&lt;=5,"very unlikely",IF(G74&lt;=25,"unlikely",IF(G74&lt;=50,"possible","not computed")))))</f>
        <v>most unlikely</v>
      </c>
      <c r="H75" s="23" t="str">
        <f>IF(H74&lt;0.505,"most unlikely",IF(H74&lt;5.01,"very unlikely",IF(H74&lt;25.1,"unlikely",IF(H74&lt;75,"possible",IF(H74&lt;95,"likely",IF(H74&lt;99.5,"very likely","most likely"))))))</f>
        <v>unlikely</v>
      </c>
      <c r="I75" s="77"/>
      <c r="J75" s="77"/>
      <c r="K75" s="77"/>
      <c r="L75" s="77"/>
      <c r="M75" s="176"/>
      <c r="N75" s="82"/>
      <c r="O75" s="82"/>
      <c r="P75" s="82"/>
      <c r="Q75" s="80"/>
      <c r="R75" s="80"/>
      <c r="S75" s="23" t="str">
        <f>IF(S74&lt;0.505,"most unlikely",IF(S74&lt;5.01,"very unlikely",IF(S74&lt;25.01,"unlikely",IF(S74&lt;74.99,"possible",IF(S74&lt;94.99,"likely",IF(S74&lt;99.49,"very likely","most likely"))))))</f>
        <v>most unlikely</v>
      </c>
      <c r="T75" s="23" t="str">
        <f>IF(T74&lt;0.505,"most unlikely",IF(T74&lt;5.01,"very unlikely",IF(T74&lt;24.99,"unlikely",IF(T74&lt;74.99,"possible",IF(T74&lt;94.99,"likely",IF(T74&lt;99.49,"very likely","most likely"))))))</f>
        <v>possible</v>
      </c>
      <c r="U75" s="77"/>
      <c r="V75" s="77"/>
      <c r="W75" s="77"/>
      <c r="X75" s="77"/>
      <c r="Y75" s="77"/>
      <c r="Z75" s="77"/>
      <c r="AA75" s="77"/>
      <c r="AB75" s="79"/>
      <c r="AC75" s="73"/>
      <c r="AD75" s="9"/>
      <c r="AE75" s="9"/>
      <c r="AF75" s="9"/>
      <c r="AG75" s="172"/>
    </row>
    <row r="76" spans="1:40" ht="7.5" customHeight="1" x14ac:dyDescent="0.2">
      <c r="A76" s="134"/>
      <c r="B76" s="77"/>
      <c r="C76" s="77"/>
      <c r="D76" s="77"/>
      <c r="E76" s="77"/>
      <c r="F76" s="77"/>
      <c r="G76" s="83"/>
      <c r="H76" s="83"/>
      <c r="I76" s="77"/>
      <c r="J76" s="77"/>
      <c r="K76" s="77"/>
      <c r="L76" s="77"/>
      <c r="M76" s="77"/>
      <c r="N76" s="82"/>
      <c r="O76" s="82"/>
      <c r="P76" s="82"/>
      <c r="Q76" s="82"/>
      <c r="R76" s="82"/>
      <c r="S76" s="77"/>
      <c r="T76" s="79"/>
      <c r="U76" s="77"/>
      <c r="V76" s="77"/>
      <c r="W76" s="77"/>
      <c r="X76" s="77"/>
      <c r="Y76" s="77"/>
      <c r="Z76" s="77"/>
      <c r="AA76" s="77"/>
      <c r="AB76" s="79"/>
      <c r="AC76" s="73"/>
      <c r="AD76" s="9"/>
      <c r="AG76" s="172"/>
    </row>
    <row r="77" spans="1:40" ht="12.95" customHeight="1" x14ac:dyDescent="0.2">
      <c r="A77" s="73"/>
      <c r="B77" s="84" t="s">
        <v>63</v>
      </c>
      <c r="C77" s="90"/>
      <c r="D77" s="90"/>
      <c r="E77" s="90"/>
      <c r="F77" s="90"/>
      <c r="G77" s="90"/>
      <c r="H77" s="90"/>
      <c r="I77" s="148"/>
      <c r="J77" s="90"/>
      <c r="K77" s="149"/>
      <c r="L77" s="149"/>
      <c r="M77" s="90"/>
      <c r="N77" s="90"/>
      <c r="O77" s="90"/>
      <c r="P77" s="90"/>
      <c r="Q77" s="90"/>
      <c r="R77" s="90"/>
      <c r="S77" s="90"/>
      <c r="T77" s="90"/>
      <c r="U77" s="149"/>
      <c r="V77" s="149"/>
      <c r="W77" s="90"/>
      <c r="X77" s="90"/>
      <c r="Y77" s="90"/>
      <c r="Z77" s="90"/>
      <c r="AA77" s="90"/>
      <c r="AB77" s="90"/>
      <c r="AC77" s="73"/>
      <c r="AD77" s="9"/>
      <c r="AE77" s="189"/>
      <c r="AF77" s="189"/>
      <c r="AG77" s="9"/>
    </row>
    <row r="78" spans="1:40" ht="12.95" customHeight="1" x14ac:dyDescent="0.2">
      <c r="A78" s="134"/>
      <c r="B78" s="84"/>
      <c r="C78" s="85"/>
      <c r="D78" s="85"/>
      <c r="E78" s="85"/>
      <c r="F78" s="85"/>
      <c r="G78" s="86"/>
      <c r="H78" s="86"/>
      <c r="I78" s="85"/>
      <c r="J78" s="85"/>
      <c r="K78" s="85"/>
      <c r="L78" s="85"/>
      <c r="M78" s="90" t="s">
        <v>37</v>
      </c>
      <c r="N78" s="89"/>
      <c r="O78" s="89"/>
      <c r="P78" s="89"/>
      <c r="Q78" s="89"/>
      <c r="R78" s="89"/>
      <c r="S78" s="85"/>
      <c r="T78" s="90"/>
      <c r="U78" s="85"/>
      <c r="V78" s="149"/>
      <c r="W78" s="90"/>
      <c r="X78" s="90"/>
      <c r="Y78" s="90"/>
      <c r="Z78" s="90"/>
      <c r="AA78" s="90"/>
      <c r="AB78" s="90"/>
      <c r="AC78" s="73"/>
      <c r="AD78" s="9"/>
      <c r="AE78" s="361" t="s">
        <v>49</v>
      </c>
      <c r="AF78" s="362"/>
      <c r="AG78" s="172"/>
    </row>
    <row r="79" spans="1:40" ht="12.95" customHeight="1" x14ac:dyDescent="0.2">
      <c r="A79" s="134"/>
      <c r="B79" s="85"/>
      <c r="C79" s="307" t="s">
        <v>27</v>
      </c>
      <c r="D79" s="307" t="s">
        <v>28</v>
      </c>
      <c r="E79" s="319" t="s">
        <v>29</v>
      </c>
      <c r="F79" s="304" t="s">
        <v>30</v>
      </c>
      <c r="G79" s="298" t="s">
        <v>38</v>
      </c>
      <c r="H79" s="299"/>
      <c r="I79" s="85"/>
      <c r="J79" s="85"/>
      <c r="K79" s="85"/>
      <c r="L79" s="85"/>
      <c r="M79" s="317" t="s">
        <v>43</v>
      </c>
      <c r="N79" s="89"/>
      <c r="O79" s="89"/>
      <c r="P79" s="89"/>
      <c r="Q79" s="302" t="s">
        <v>65</v>
      </c>
      <c r="R79" s="302" t="s">
        <v>66</v>
      </c>
      <c r="S79" s="85"/>
      <c r="T79" s="90"/>
      <c r="U79" s="85"/>
      <c r="V79" s="149"/>
      <c r="W79" s="90"/>
      <c r="X79" s="90"/>
      <c r="Y79" s="90"/>
      <c r="Z79" s="90"/>
      <c r="AA79" s="90"/>
      <c r="AB79" s="90"/>
      <c r="AC79" s="73"/>
      <c r="AD79" s="9"/>
      <c r="AE79" s="363"/>
      <c r="AF79" s="364"/>
      <c r="AG79" s="312" t="s">
        <v>3</v>
      </c>
    </row>
    <row r="80" spans="1:40" ht="12.95" customHeight="1" x14ac:dyDescent="0.2">
      <c r="A80" s="134"/>
      <c r="B80" s="85"/>
      <c r="C80" s="307"/>
      <c r="D80" s="307"/>
      <c r="E80" s="320"/>
      <c r="F80" s="305"/>
      <c r="G80" s="300"/>
      <c r="H80" s="301"/>
      <c r="I80" s="297" t="s">
        <v>6</v>
      </c>
      <c r="J80" s="297"/>
      <c r="K80" s="297"/>
      <c r="L80" s="91"/>
      <c r="M80" s="318"/>
      <c r="N80" s="133">
        <f>$N$19</f>
        <v>90</v>
      </c>
      <c r="O80" s="295" t="s">
        <v>125</v>
      </c>
      <c r="P80" s="296"/>
      <c r="Q80" s="322"/>
      <c r="R80" s="303"/>
      <c r="S80" s="366" t="s">
        <v>39</v>
      </c>
      <c r="T80" s="367"/>
      <c r="U80" s="91"/>
      <c r="V80" s="149"/>
      <c r="W80" s="90"/>
      <c r="X80" s="90"/>
      <c r="Y80" s="90"/>
      <c r="Z80" s="90"/>
      <c r="AA80" s="90"/>
      <c r="AB80" s="85"/>
      <c r="AC80" s="134"/>
      <c r="AE80" s="368" t="s">
        <v>47</v>
      </c>
      <c r="AF80" s="368" t="s">
        <v>48</v>
      </c>
      <c r="AG80" s="313"/>
    </row>
    <row r="81" spans="1:40" ht="12.95" customHeight="1" x14ac:dyDescent="0.2">
      <c r="A81" s="134"/>
      <c r="B81" s="85"/>
      <c r="C81" s="307"/>
      <c r="D81" s="307"/>
      <c r="E81" s="321"/>
      <c r="F81" s="308"/>
      <c r="G81" s="74" t="s">
        <v>7</v>
      </c>
      <c r="H81" s="62" t="s">
        <v>8</v>
      </c>
      <c r="I81" s="22" t="s">
        <v>16</v>
      </c>
      <c r="J81" s="22" t="s">
        <v>31</v>
      </c>
      <c r="K81" s="22" t="s">
        <v>32</v>
      </c>
      <c r="L81" s="91"/>
      <c r="M81" s="318"/>
      <c r="N81" s="22" t="s">
        <v>9</v>
      </c>
      <c r="O81" s="22" t="s">
        <v>10</v>
      </c>
      <c r="P81" s="22" t="s">
        <v>51</v>
      </c>
      <c r="Q81" s="306"/>
      <c r="R81" s="306"/>
      <c r="S81" s="29" t="s">
        <v>12</v>
      </c>
      <c r="T81" s="29" t="s">
        <v>13</v>
      </c>
      <c r="U81" s="91"/>
      <c r="V81" s="149"/>
      <c r="W81" s="90"/>
      <c r="X81" s="90"/>
      <c r="Y81" s="90"/>
      <c r="Z81" s="90"/>
      <c r="AA81" s="90"/>
      <c r="AB81" s="85"/>
      <c r="AC81" s="134"/>
      <c r="AE81" s="369"/>
      <c r="AF81" s="369"/>
      <c r="AG81" s="314"/>
    </row>
    <row r="82" spans="1:40" ht="13.5" customHeight="1" x14ac:dyDescent="0.2">
      <c r="A82" s="134"/>
      <c r="B82" s="85"/>
      <c r="C82" s="21">
        <v>1.1100000000000001</v>
      </c>
      <c r="D82" s="20">
        <f>1/C82</f>
        <v>0.9009009009009008</v>
      </c>
      <c r="E82" s="49">
        <v>50</v>
      </c>
      <c r="F82" s="49">
        <v>50</v>
      </c>
      <c r="G82" s="121">
        <f>$G$19</f>
        <v>0.5</v>
      </c>
      <c r="H82" s="121">
        <f>$H$19</f>
        <v>25</v>
      </c>
      <c r="I82" s="25">
        <f>AG82*((NORMSINV(1-G82/100)+NORMSINV(1-H82/100))/(LN(D82)-LN(C82)))^2</f>
        <v>3885.3941570357924</v>
      </c>
      <c r="J82" s="24">
        <f>F82/100*I82</f>
        <v>1942.6970785178962</v>
      </c>
      <c r="K82" s="24">
        <f>I82-J82</f>
        <v>1942.6970785178962</v>
      </c>
      <c r="L82" s="92"/>
      <c r="M82" s="20">
        <f>EXP((LN(D82)*NORMSINV(1-G82/100)+LN(C82)*NORMSINV(1-H82/100))/(NORMSINV(1-G82/100)+NORMSINV(1-H82/100)))</f>
        <v>0.94077855969572943</v>
      </c>
      <c r="N82" s="28">
        <f>EXP(LN(M82)+SQRT(AG82/I82)*NORMSINV((1-N80/100)/2))</f>
        <v>0.84647706787145693</v>
      </c>
      <c r="O82" s="28">
        <f>EXP(LN(M82)+SQRT(AG82/I82)*NORMSINV(1-(1-N80/100)/2))</f>
        <v>1.0455856773636469</v>
      </c>
      <c r="P82" s="28">
        <f>SQRT(O82/N82)</f>
        <v>1.1114046622212721</v>
      </c>
      <c r="Q82" s="20">
        <f>C82</f>
        <v>1.1100000000000001</v>
      </c>
      <c r="R82" s="20">
        <f>D82</f>
        <v>0.9009009009009008</v>
      </c>
      <c r="S82" s="191">
        <f>NORMSDIST(-IF(LN(R82)&gt;LN(Q82),1,-1)*(LN(M82)-LN(Q82))/SQRT(AG82/I82))*100</f>
        <v>0.49999999999999967</v>
      </c>
      <c r="T82" s="24">
        <f>NORMSDIST(-IF(LN(R82)&gt;LN(Q82),1,-1)*(LN(R82)-LN(M82))/SQRT(AG82/I82))*100</f>
        <v>25.000000000000011</v>
      </c>
      <c r="U82" s="92"/>
      <c r="V82" s="149"/>
      <c r="W82" s="90"/>
      <c r="X82" s="90"/>
      <c r="Y82" s="90"/>
      <c r="Z82" s="90"/>
      <c r="AA82" s="90"/>
      <c r="AB82" s="85"/>
      <c r="AC82" s="134"/>
      <c r="AE82" s="187">
        <f>100-100*NORMSDIST(ABS(LN(D82))/SQRT(AG82/I82)-NORMSINV(1-H82/100))</f>
        <v>17.088601761553448</v>
      </c>
      <c r="AF82" s="187">
        <f>100-100*NORMSDIST(NORMSINV(1-G82/100)-ABS(LN(C82))/SQRT(AG82/I82))</f>
        <v>17.088601761553463</v>
      </c>
      <c r="AG82" s="171">
        <f>(1/(F82/100))*(1+1/(C82*E82/(100-E82))+1+C82*E82/(100-E82)) + (1/(1-F82/100))*(1/(E82/100)+1/(1-E82/100))</f>
        <v>16.0218018018018</v>
      </c>
    </row>
    <row r="83" spans="1:40" ht="12.95" customHeight="1" x14ac:dyDescent="0.2">
      <c r="A83" s="134"/>
      <c r="B83" s="85"/>
      <c r="C83" s="85"/>
      <c r="D83" s="85"/>
      <c r="E83" s="85"/>
      <c r="F83" s="85"/>
      <c r="G83" s="23" t="str">
        <f>IF(G82&lt;=0.1,"negligible",IF(G82&lt;=0.5,"most unlikely",IF(G82&lt;=5,"very unlikely",IF(G82&lt;=25,"unlikely",IF(G82&lt;=50,"possible","not computed")))))</f>
        <v>most unlikely</v>
      </c>
      <c r="H83" s="23" t="str">
        <f>IF(H82&lt;0.505,"most unlikely",IF(H82&lt;5.01,"very unlikely",IF(H82&lt;25.1,"unlikely",IF(H82&lt;75,"possible",IF(H82&lt;95,"likely",IF(H82&lt;99.5,"very likely","most likely"))))))</f>
        <v>unlikely</v>
      </c>
      <c r="I83" s="85"/>
      <c r="J83" s="93"/>
      <c r="K83" s="94"/>
      <c r="L83" s="85"/>
      <c r="M83" s="177"/>
      <c r="N83" s="89"/>
      <c r="O83" s="89"/>
      <c r="P83" s="89"/>
      <c r="Q83" s="91"/>
      <c r="R83" s="91"/>
      <c r="S83" s="23" t="str">
        <f>IF(S82&lt;0.505,"most unlikely",IF(S82&lt;5.01,"very unlikely",IF(S82&lt;25.01,"unlikely",IF(S82&lt;74.99,"possible",IF(S82&lt;94.99,"likely",IF(S82&lt;99.49,"very likely","most likely"))))))</f>
        <v>most unlikely</v>
      </c>
      <c r="T83" s="23" t="str">
        <f>IF(T82&lt;0.505,"most unlikely",IF(T82&lt;5.01,"very unlikely",IF(T82&lt;24.99,"unlikely",IF(T82&lt;74.99,"possible",IF(T82&lt;94.99,"likely",IF(T82&lt;99.49,"very likely","most likely"))))))</f>
        <v>possible</v>
      </c>
      <c r="U83" s="85"/>
      <c r="V83" s="149"/>
      <c r="W83" s="90"/>
      <c r="X83" s="90"/>
      <c r="Y83" s="90"/>
      <c r="Z83" s="90"/>
      <c r="AA83" s="90"/>
      <c r="AB83" s="90"/>
      <c r="AC83" s="73"/>
      <c r="AD83" s="9"/>
      <c r="AE83" s="9"/>
      <c r="AF83" s="9"/>
      <c r="AG83" s="172"/>
    </row>
    <row r="84" spans="1:40" ht="10.15" customHeight="1" x14ac:dyDescent="0.2">
      <c r="A84" s="73"/>
      <c r="B84" s="90"/>
      <c r="C84" s="90"/>
      <c r="D84" s="90"/>
      <c r="E84" s="90"/>
      <c r="F84" s="90"/>
      <c r="G84" s="90"/>
      <c r="H84" s="90"/>
      <c r="I84" s="148"/>
      <c r="J84" s="90"/>
      <c r="K84" s="149"/>
      <c r="L84" s="149"/>
      <c r="M84" s="90"/>
      <c r="N84" s="90"/>
      <c r="O84" s="90"/>
      <c r="P84" s="90"/>
      <c r="Q84" s="90"/>
      <c r="R84" s="90"/>
      <c r="S84" s="90"/>
      <c r="T84" s="90"/>
      <c r="U84" s="149"/>
      <c r="V84" s="149"/>
      <c r="W84" s="90"/>
      <c r="X84" s="90"/>
      <c r="Y84" s="90"/>
      <c r="Z84" s="90"/>
      <c r="AA84" s="90"/>
      <c r="AB84" s="90"/>
      <c r="AC84" s="73"/>
      <c r="AD84" s="9"/>
      <c r="AE84" s="189"/>
      <c r="AF84" s="189"/>
      <c r="AG84" s="9"/>
    </row>
    <row r="85" spans="1:40" ht="12" customHeight="1" x14ac:dyDescent="0.2">
      <c r="A85" s="73"/>
      <c r="B85" s="73"/>
      <c r="C85" s="73"/>
      <c r="D85" s="73"/>
      <c r="E85" s="73"/>
      <c r="F85" s="73"/>
      <c r="G85" s="73"/>
      <c r="H85" s="73"/>
      <c r="I85" s="96"/>
      <c r="J85" s="73"/>
      <c r="K85" s="143"/>
      <c r="L85" s="143"/>
      <c r="M85" s="73"/>
      <c r="N85" s="73"/>
      <c r="O85" s="73"/>
      <c r="P85" s="73"/>
      <c r="Q85" s="73"/>
      <c r="R85" s="73"/>
      <c r="S85" s="73"/>
      <c r="T85" s="73"/>
      <c r="U85" s="143"/>
      <c r="V85" s="143"/>
      <c r="W85" s="73"/>
      <c r="X85" s="73"/>
      <c r="Y85" s="73"/>
      <c r="Z85" s="73"/>
      <c r="AA85" s="73"/>
      <c r="AB85" s="73"/>
      <c r="AC85" s="73"/>
      <c r="AD85" s="9"/>
      <c r="AE85" s="189"/>
      <c r="AF85" s="189"/>
      <c r="AG85" s="9"/>
    </row>
    <row r="86" spans="1:40" s="9" customFormat="1" x14ac:dyDescent="0.2">
      <c r="A86" s="73"/>
      <c r="B86" s="95"/>
      <c r="C86" s="73"/>
      <c r="D86" s="73"/>
      <c r="E86" s="73"/>
      <c r="F86" s="73"/>
      <c r="G86" s="73"/>
      <c r="H86" s="73"/>
      <c r="I86" s="96"/>
      <c r="J86" s="73"/>
      <c r="K86" s="73"/>
      <c r="L86" s="73"/>
      <c r="M86" s="73"/>
      <c r="N86" s="73"/>
      <c r="O86" s="73"/>
      <c r="P86" s="73"/>
      <c r="Q86" s="73"/>
      <c r="R86" s="73"/>
      <c r="AE86" s="189"/>
      <c r="AF86" s="189"/>
    </row>
    <row r="87" spans="1:40" s="9" customFormat="1" ht="12.95" customHeight="1" x14ac:dyDescent="0.2">
      <c r="A87" s="73"/>
      <c r="B87" s="95"/>
      <c r="C87" s="355" t="s">
        <v>50</v>
      </c>
      <c r="D87" s="355"/>
      <c r="E87" s="355"/>
      <c r="F87" s="73"/>
      <c r="G87" s="298" t="s">
        <v>34</v>
      </c>
      <c r="H87" s="299"/>
      <c r="I87" s="96"/>
      <c r="J87" s="73"/>
      <c r="K87" s="73"/>
      <c r="L87" s="73"/>
      <c r="M87" s="73"/>
      <c r="N87" s="73"/>
      <c r="O87" s="73"/>
      <c r="P87" s="73"/>
      <c r="Q87" s="73"/>
      <c r="R87" s="73"/>
      <c r="AE87" s="189"/>
      <c r="AF87" s="189"/>
    </row>
    <row r="88" spans="1:40" s="9" customFormat="1" ht="12.95" customHeight="1" x14ac:dyDescent="0.2">
      <c r="A88" s="73"/>
      <c r="B88" s="95"/>
      <c r="C88" s="355"/>
      <c r="D88" s="355"/>
      <c r="E88" s="355"/>
      <c r="F88" s="73"/>
      <c r="G88" s="300"/>
      <c r="H88" s="301"/>
      <c r="I88" s="96"/>
      <c r="J88" s="73"/>
      <c r="K88" s="73"/>
      <c r="L88" s="73"/>
      <c r="M88" s="73"/>
      <c r="N88" s="73"/>
      <c r="O88" s="73"/>
      <c r="P88" s="73"/>
      <c r="Q88" s="73"/>
      <c r="R88" s="73"/>
      <c r="AE88" s="189"/>
      <c r="AF88" s="189"/>
    </row>
    <row r="89" spans="1:40" s="9" customFormat="1" ht="13.15" customHeight="1" x14ac:dyDescent="0.2">
      <c r="A89" s="73"/>
      <c r="B89" s="95"/>
      <c r="C89" s="355"/>
      <c r="D89" s="355"/>
      <c r="E89" s="355"/>
      <c r="F89" s="73"/>
      <c r="G89" s="74" t="s">
        <v>44</v>
      </c>
      <c r="H89" s="62" t="s">
        <v>45</v>
      </c>
      <c r="I89" s="96"/>
      <c r="J89" s="73"/>
      <c r="K89" s="73"/>
      <c r="L89" s="73"/>
      <c r="M89" s="73"/>
      <c r="N89" s="73"/>
      <c r="O89" s="73"/>
      <c r="P89" s="73"/>
      <c r="Q89" s="73"/>
      <c r="R89" s="73"/>
      <c r="AE89" s="189"/>
      <c r="AF89" s="189"/>
    </row>
    <row r="90" spans="1:40" s="9" customFormat="1" ht="13.5" customHeight="1" x14ac:dyDescent="0.2">
      <c r="A90" s="73"/>
      <c r="B90" s="376" t="s">
        <v>104</v>
      </c>
      <c r="C90" s="376"/>
      <c r="D90" s="376"/>
      <c r="E90" s="376"/>
      <c r="F90" s="73"/>
      <c r="G90" s="128">
        <v>5</v>
      </c>
      <c r="H90" s="128">
        <v>20</v>
      </c>
      <c r="I90" s="96"/>
      <c r="J90" s="118"/>
      <c r="K90" s="73"/>
      <c r="L90" s="73"/>
      <c r="M90" s="73"/>
      <c r="N90" s="131">
        <v>95</v>
      </c>
      <c r="O90" s="295" t="s">
        <v>125</v>
      </c>
      <c r="P90" s="296"/>
      <c r="Q90" s="73"/>
      <c r="R90" s="73"/>
      <c r="AE90" s="189"/>
      <c r="AF90" s="189"/>
    </row>
    <row r="91" spans="1:40" s="7" customFormat="1" ht="12.95" customHeight="1" x14ac:dyDescent="0.2">
      <c r="A91" s="73"/>
      <c r="B91" s="73"/>
      <c r="C91" s="123"/>
      <c r="D91" s="123"/>
      <c r="E91" s="73"/>
      <c r="F91" s="124"/>
      <c r="G91" s="23" t="str">
        <f>IF(G90&lt;=0.1,"negligible",IF(G90&lt;=0.5,"most unlikely",IF(G90&lt;=5,"very unlikely",IF(G90&lt;=25,"unlikely",IF(G90&lt;=50,"possible","not computed")))))</f>
        <v>very unlikely</v>
      </c>
      <c r="H91" s="23" t="str">
        <f>IF(H90&lt;=0.1,"negligible",IF(H90&lt;=0.5,"most unlikely",IF(H90&lt;=5,"very unlikely",IF(H90&lt;=25,"unlikely",IF(H90&lt;=75,"possible",IF(H90&lt;=95,"likely",IF(H90&lt;=99.5,"very likely","most likely")))))))</f>
        <v>unlikely</v>
      </c>
      <c r="I91" s="126"/>
      <c r="J91" s="127"/>
      <c r="K91" s="127"/>
      <c r="L91" s="127"/>
      <c r="M91" s="127"/>
      <c r="N91" s="127"/>
      <c r="O91" s="127"/>
      <c r="P91" s="127"/>
      <c r="Q91" s="127"/>
      <c r="R91" s="127"/>
      <c r="T91" s="236"/>
      <c r="U91" s="8"/>
      <c r="V91" s="8"/>
      <c r="W91" s="166"/>
      <c r="X91" s="166"/>
      <c r="Y91" s="166"/>
      <c r="Z91" s="166"/>
      <c r="AA91" s="166"/>
      <c r="AD91" s="9"/>
      <c r="AE91" s="181"/>
      <c r="AF91" s="181"/>
      <c r="AG91" s="166"/>
      <c r="AH91" s="12"/>
      <c r="AI91" s="9"/>
      <c r="AJ91" s="9"/>
      <c r="AK91" s="9"/>
      <c r="AL91" s="9"/>
      <c r="AM91" s="9"/>
      <c r="AN91" s="9"/>
    </row>
    <row r="92" spans="1:40" ht="12.95" customHeight="1" x14ac:dyDescent="0.2">
      <c r="A92" s="134"/>
      <c r="B92" s="14" t="str">
        <f>B21</f>
        <v>Change in mean in a post-only crossover</v>
      </c>
      <c r="C92" s="3"/>
      <c r="D92" s="3"/>
      <c r="E92" s="3"/>
      <c r="F92" s="3"/>
      <c r="G92" s="3"/>
      <c r="H92" s="3"/>
      <c r="I92" s="97"/>
      <c r="J92" s="3"/>
      <c r="K92" s="3"/>
      <c r="L92" s="3"/>
      <c r="M92" s="3" t="s">
        <v>37</v>
      </c>
      <c r="N92" s="3"/>
      <c r="O92" s="3"/>
      <c r="P92" s="3"/>
      <c r="Q92" s="3"/>
      <c r="R92" s="134"/>
      <c r="T92" s="10"/>
      <c r="AB92" s="10"/>
      <c r="AE92" s="7"/>
      <c r="AF92" s="11"/>
      <c r="AH92" s="9"/>
      <c r="AI92" s="189"/>
      <c r="AJ92" s="189"/>
    </row>
    <row r="93" spans="1:40" ht="6.75" customHeight="1" x14ac:dyDescent="0.2">
      <c r="A93" s="134"/>
      <c r="B93" s="14"/>
      <c r="C93" s="3"/>
      <c r="D93" s="3"/>
      <c r="E93" s="3"/>
      <c r="F93" s="3"/>
      <c r="G93" s="3"/>
      <c r="H93" s="3"/>
      <c r="I93" s="97"/>
      <c r="J93" s="3"/>
      <c r="K93" s="3"/>
      <c r="L93" s="3"/>
      <c r="M93" s="3"/>
      <c r="N93" s="3"/>
      <c r="O93" s="3"/>
      <c r="P93" s="3"/>
      <c r="Q93" s="3"/>
      <c r="R93" s="134"/>
      <c r="T93" s="10"/>
      <c r="AB93" s="10"/>
      <c r="AE93" s="7"/>
      <c r="AF93" s="11"/>
      <c r="AH93" s="9"/>
      <c r="AI93" s="189"/>
      <c r="AJ93" s="189"/>
    </row>
    <row r="94" spans="1:40" ht="12.95" customHeight="1" x14ac:dyDescent="0.2">
      <c r="A94" s="134"/>
      <c r="B94" s="304" t="s">
        <v>33</v>
      </c>
      <c r="C94" s="3"/>
      <c r="D94" s="307" t="s">
        <v>2</v>
      </c>
      <c r="E94" s="304" t="s">
        <v>119</v>
      </c>
      <c r="F94" s="151"/>
      <c r="G94" s="298" t="s">
        <v>34</v>
      </c>
      <c r="H94" s="299"/>
      <c r="I94" s="15"/>
      <c r="J94" s="15"/>
      <c r="K94" s="3"/>
      <c r="L94" s="3"/>
      <c r="M94" s="317" t="s">
        <v>40</v>
      </c>
      <c r="N94" s="3"/>
      <c r="O94" s="3"/>
      <c r="P94" s="3"/>
      <c r="Q94" s="3"/>
      <c r="R94" s="134"/>
      <c r="T94" s="10"/>
      <c r="AB94" s="10"/>
      <c r="AE94" s="7"/>
      <c r="AF94" s="11"/>
      <c r="AG94" s="312" t="s">
        <v>3</v>
      </c>
      <c r="AH94" s="9"/>
      <c r="AI94" s="180"/>
      <c r="AJ94" s="180"/>
    </row>
    <row r="95" spans="1:40" s="7" customFormat="1" ht="12.95" customHeight="1" x14ac:dyDescent="0.2">
      <c r="A95" s="73"/>
      <c r="B95" s="305"/>
      <c r="C95" s="3"/>
      <c r="D95" s="307"/>
      <c r="E95" s="305"/>
      <c r="F95" s="152"/>
      <c r="G95" s="300"/>
      <c r="H95" s="301"/>
      <c r="I95" s="311" t="s">
        <v>6</v>
      </c>
      <c r="J95" s="17"/>
      <c r="K95" s="2"/>
      <c r="L95" s="2"/>
      <c r="M95" s="318"/>
      <c r="N95" s="133">
        <f>$N$90</f>
        <v>95</v>
      </c>
      <c r="O95" s="295" t="s">
        <v>125</v>
      </c>
      <c r="P95" s="296"/>
      <c r="Q95" s="2"/>
      <c r="R95" s="127"/>
      <c r="AD95" s="9"/>
      <c r="AF95" s="8"/>
      <c r="AG95" s="313"/>
      <c r="AH95" s="9"/>
      <c r="AI95" s="180"/>
      <c r="AJ95" s="180"/>
      <c r="AL95" s="9"/>
      <c r="AM95" s="9"/>
      <c r="AN95" s="9"/>
    </row>
    <row r="96" spans="1:40" s="7" customFormat="1" x14ac:dyDescent="0.2">
      <c r="A96" s="73"/>
      <c r="B96" s="308"/>
      <c r="C96" s="3"/>
      <c r="D96" s="307"/>
      <c r="E96" s="308"/>
      <c r="F96" s="152"/>
      <c r="G96" s="74" t="s">
        <v>44</v>
      </c>
      <c r="H96" s="62" t="s">
        <v>45</v>
      </c>
      <c r="I96" s="311"/>
      <c r="J96" s="17"/>
      <c r="K96" s="2"/>
      <c r="L96" s="2"/>
      <c r="M96" s="318"/>
      <c r="N96" s="132" t="s">
        <v>9</v>
      </c>
      <c r="O96" s="120" t="s">
        <v>10</v>
      </c>
      <c r="P96" s="120" t="s">
        <v>11</v>
      </c>
      <c r="Q96" s="2"/>
      <c r="R96" s="127"/>
      <c r="AD96" s="9"/>
      <c r="AF96" s="8"/>
      <c r="AG96" s="314"/>
      <c r="AH96" s="371" t="s">
        <v>14</v>
      </c>
      <c r="AI96" s="372"/>
      <c r="AJ96" s="373"/>
      <c r="AL96" s="9"/>
      <c r="AM96" s="9"/>
      <c r="AN96" s="9"/>
    </row>
    <row r="97" spans="1:40" s="7" customFormat="1" ht="13.5" customHeight="1" x14ac:dyDescent="0.2">
      <c r="A97" s="73"/>
      <c r="B97" s="208">
        <v>1</v>
      </c>
      <c r="C97" s="3"/>
      <c r="D97" s="209">
        <v>1</v>
      </c>
      <c r="E97" s="208">
        <v>10</v>
      </c>
      <c r="F97" s="69"/>
      <c r="G97" s="150">
        <f>$G$90</f>
        <v>5</v>
      </c>
      <c r="H97" s="121">
        <f>$H$90</f>
        <v>20</v>
      </c>
      <c r="I97" s="99">
        <f>IF(D97/B97&lt;0.35,4,AG97*((TINV(G97/2*2/100,AK97-1)+IF(H97&gt;50,-TINV(2-2*H97/100,AK97-1),TINV(2*H97/100,AK97-1)))/B97)^2)</f>
        <v>17.726266921826085</v>
      </c>
      <c r="J97" s="18"/>
      <c r="K97" s="18"/>
      <c r="L97" s="18"/>
      <c r="M97" s="20">
        <f>(B97*TINV(G97/100,I97-1))/(TINV(G97/100,I97-1)+IF(H97&gt;50,-TINV(2-2*H97/100,I97-1),TINV(2*H97/100,I97-1)))</f>
        <v>0.71028780187267826</v>
      </c>
      <c r="N97" s="28">
        <f>M97-SQRT(AG97/I97)*TINV(1-N95/100,I97-1)</f>
        <v>0</v>
      </c>
      <c r="O97" s="28">
        <f>M97+SQRT(AG97/I97)*TINV(1-N95/100,I97-1)</f>
        <v>1.4205756037453565</v>
      </c>
      <c r="P97" s="28">
        <f>(O97-N97)/2</f>
        <v>0.71028780187267826</v>
      </c>
      <c r="Q97" s="18"/>
      <c r="R97" s="142"/>
      <c r="AD97" s="9"/>
      <c r="AF97" s="178"/>
      <c r="AG97" s="168">
        <f>(2*E97^2-D97^2)/E97^2*D97^2</f>
        <v>1.99</v>
      </c>
      <c r="AH97" s="171">
        <v>4</v>
      </c>
      <c r="AI97" s="171">
        <f>AG97*((TINV(G97/2*2/100,AH97-1)+IF(H97&gt;50,-TINV(2-2*H97/100,AH97-1),TINV(2*H97/100,AH97-1)))/B97)^2</f>
        <v>34.453355047936263</v>
      </c>
      <c r="AJ97" s="171">
        <f>AG97*((TINV(G97/2*2/100,AI97-1)+IF(H97&gt;50,-TINV(2-2*H97/100,AI97-1),TINV(2*H97/100,AI97-1)))/B97)^2</f>
        <v>16.588083052230534</v>
      </c>
      <c r="AK97" s="171">
        <f>AG97*((TINV(G97/2*2/100,AJ97-1)+IF(H97&gt;50,-TINV(2-2*H97/100,AJ97-1),TINV(2*H97/100,AJ97-1)))/B97)^2</f>
        <v>17.88248313126655</v>
      </c>
      <c r="AL97" s="9"/>
      <c r="AM97" s="9"/>
      <c r="AN97" s="9"/>
    </row>
    <row r="98" spans="1:40" s="7" customFormat="1" x14ac:dyDescent="0.2">
      <c r="A98" s="73"/>
      <c r="B98" s="1"/>
      <c r="C98" s="19"/>
      <c r="D98" s="1"/>
      <c r="E98" s="19"/>
      <c r="F98" s="251" t="str">
        <f>IF(D97/B97&lt;0.35,"Typical error &lt;0.35(smallest change). Sample size is set to 4.","")</f>
        <v/>
      </c>
      <c r="G98" s="23" t="str">
        <f>IF(G97&lt;=0.1,"negligible",IF(G97&lt;=0.5,"most unlikely",IF(G97&lt;=5,"very unlikely",IF(G97&lt;=25,"unlikely",IF(G97&lt;=50,"possible","not computed")))))</f>
        <v>very unlikely</v>
      </c>
      <c r="H98" s="23" t="str">
        <f>IF(H97&lt;=0.1,"negligible",IF(H97&lt;=0.5,"most unlikely",IF(H97&lt;=5,"very unlikely",IF(H97&lt;=25,"unlikely",IF(H97&lt;=75,"possible",IF(H97&lt;=95,"likely",IF(H97&lt;=99.5,"very likely","most likely")))))))</f>
        <v>unlikely</v>
      </c>
      <c r="I98" s="2"/>
      <c r="J98" s="2"/>
      <c r="K98" s="2"/>
      <c r="L98" s="2"/>
      <c r="M98" s="2"/>
      <c r="N98" s="2"/>
      <c r="O98" s="2"/>
      <c r="P98" s="2"/>
      <c r="Q98" s="2"/>
      <c r="R98" s="127"/>
      <c r="AD98" s="9"/>
      <c r="AF98" s="8"/>
      <c r="AG98" s="170"/>
      <c r="AH98" s="9"/>
      <c r="AI98" s="9"/>
      <c r="AJ98" s="9"/>
      <c r="AL98" s="9"/>
      <c r="AM98" s="9"/>
      <c r="AN98" s="9"/>
    </row>
    <row r="99" spans="1:40" ht="6.95" customHeight="1" x14ac:dyDescent="0.2">
      <c r="A99" s="134"/>
      <c r="B99" s="3"/>
      <c r="C99" s="15"/>
      <c r="D99" s="15"/>
      <c r="E99" s="15"/>
      <c r="F99" s="15"/>
      <c r="G99" s="98"/>
      <c r="H99" s="98"/>
      <c r="I99" s="3"/>
      <c r="J99" s="3"/>
      <c r="K99" s="3"/>
      <c r="L99" s="3"/>
      <c r="M99" s="3"/>
      <c r="N99" s="3"/>
      <c r="O99" s="3"/>
      <c r="P99" s="3"/>
      <c r="Q99" s="3"/>
      <c r="R99" s="134"/>
      <c r="T99" s="10"/>
      <c r="AB99" s="10"/>
      <c r="AE99" s="7"/>
      <c r="AF99" s="11"/>
      <c r="AG99" s="172"/>
    </row>
    <row r="100" spans="1:40" ht="12.95" customHeight="1" x14ac:dyDescent="0.2">
      <c r="A100" s="134"/>
      <c r="B100" s="30" t="str">
        <f>B29</f>
        <v>Difference in changes in means in a pre-post parallel-groups controlled trial</v>
      </c>
      <c r="C100" s="31"/>
      <c r="D100" s="31"/>
      <c r="E100" s="31"/>
      <c r="F100" s="31"/>
      <c r="G100" s="101"/>
      <c r="H100" s="101"/>
      <c r="I100" s="33"/>
      <c r="J100" s="33"/>
      <c r="K100" s="33"/>
      <c r="L100" s="33"/>
      <c r="M100" s="33" t="s">
        <v>37</v>
      </c>
      <c r="N100" s="33"/>
      <c r="O100" s="33"/>
      <c r="P100" s="33"/>
      <c r="Q100" s="33"/>
      <c r="R100" s="134"/>
      <c r="T100" s="10"/>
      <c r="AB100" s="10"/>
      <c r="AE100" s="7"/>
      <c r="AF100" s="11"/>
      <c r="AG100" s="172"/>
    </row>
    <row r="101" spans="1:40" ht="6.75" customHeight="1" x14ac:dyDescent="0.2">
      <c r="A101" s="134"/>
      <c r="B101" s="30"/>
      <c r="C101" s="31"/>
      <c r="D101" s="31"/>
      <c r="E101" s="31"/>
      <c r="F101" s="31"/>
      <c r="G101" s="101"/>
      <c r="H101" s="101"/>
      <c r="I101" s="33"/>
      <c r="J101" s="33"/>
      <c r="K101" s="33"/>
      <c r="L101" s="33"/>
      <c r="M101" s="33"/>
      <c r="N101" s="33"/>
      <c r="O101" s="33"/>
      <c r="P101" s="33"/>
      <c r="Q101" s="33"/>
      <c r="R101" s="134"/>
      <c r="T101" s="10"/>
      <c r="AB101" s="10"/>
      <c r="AE101" s="7"/>
      <c r="AF101" s="11"/>
      <c r="AG101" s="172"/>
    </row>
    <row r="102" spans="1:40" ht="12.95" customHeight="1" x14ac:dyDescent="0.2">
      <c r="A102" s="134"/>
      <c r="B102" s="304" t="s">
        <v>105</v>
      </c>
      <c r="C102" s="31"/>
      <c r="D102" s="307" t="s">
        <v>2</v>
      </c>
      <c r="E102" s="304" t="s">
        <v>119</v>
      </c>
      <c r="F102" s="304" t="s">
        <v>15</v>
      </c>
      <c r="G102" s="298" t="s">
        <v>34</v>
      </c>
      <c r="H102" s="299"/>
      <c r="I102" s="31"/>
      <c r="J102" s="31"/>
      <c r="K102" s="33"/>
      <c r="L102" s="33"/>
      <c r="M102" s="317" t="s">
        <v>40</v>
      </c>
      <c r="N102" s="33"/>
      <c r="O102" s="33"/>
      <c r="P102" s="33"/>
      <c r="Q102" s="33"/>
      <c r="R102" s="134"/>
      <c r="T102" s="10"/>
      <c r="AB102" s="10"/>
      <c r="AE102" s="7"/>
      <c r="AF102" s="11"/>
      <c r="AG102" s="312" t="s">
        <v>3</v>
      </c>
    </row>
    <row r="103" spans="1:40" s="7" customFormat="1" ht="12.95" customHeight="1" x14ac:dyDescent="0.2">
      <c r="A103" s="73"/>
      <c r="B103" s="305"/>
      <c r="C103" s="31"/>
      <c r="D103" s="307"/>
      <c r="E103" s="305"/>
      <c r="F103" s="305"/>
      <c r="G103" s="300"/>
      <c r="H103" s="301"/>
      <c r="I103" s="297" t="s">
        <v>6</v>
      </c>
      <c r="J103" s="297"/>
      <c r="K103" s="297"/>
      <c r="L103" s="36"/>
      <c r="M103" s="318"/>
      <c r="N103" s="133">
        <f>$N$90</f>
        <v>95</v>
      </c>
      <c r="O103" s="295" t="s">
        <v>125</v>
      </c>
      <c r="P103" s="296"/>
      <c r="Q103" s="36"/>
      <c r="R103" s="127"/>
      <c r="AD103" s="9"/>
      <c r="AF103" s="8"/>
      <c r="AG103" s="313"/>
      <c r="AH103" s="12"/>
      <c r="AI103" s="9"/>
      <c r="AJ103" s="9"/>
      <c r="AL103" s="9"/>
      <c r="AM103" s="9"/>
      <c r="AN103" s="9"/>
    </row>
    <row r="104" spans="1:40" s="7" customFormat="1" x14ac:dyDescent="0.2">
      <c r="A104" s="73"/>
      <c r="B104" s="308"/>
      <c r="C104" s="31"/>
      <c r="D104" s="307"/>
      <c r="E104" s="308"/>
      <c r="F104" s="308"/>
      <c r="G104" s="74" t="s">
        <v>44</v>
      </c>
      <c r="H104" s="62" t="s">
        <v>45</v>
      </c>
      <c r="I104" s="22" t="s">
        <v>16</v>
      </c>
      <c r="J104" s="22" t="s">
        <v>17</v>
      </c>
      <c r="K104" s="22" t="s">
        <v>18</v>
      </c>
      <c r="L104" s="36"/>
      <c r="M104" s="318"/>
      <c r="N104" s="26" t="s">
        <v>9</v>
      </c>
      <c r="O104" s="22" t="s">
        <v>10</v>
      </c>
      <c r="P104" s="22" t="s">
        <v>11</v>
      </c>
      <c r="Q104" s="36"/>
      <c r="R104" s="127"/>
      <c r="AD104" s="9"/>
      <c r="AF104" s="8"/>
      <c r="AG104" s="314"/>
      <c r="AH104" s="371" t="s">
        <v>14</v>
      </c>
      <c r="AI104" s="372"/>
      <c r="AJ104" s="373"/>
      <c r="AL104" s="9"/>
      <c r="AM104" s="9"/>
      <c r="AN104" s="9"/>
    </row>
    <row r="105" spans="1:40" s="7" customFormat="1" ht="13.5" customHeight="1" x14ac:dyDescent="0.2">
      <c r="A105" s="73"/>
      <c r="B105" s="208">
        <v>1</v>
      </c>
      <c r="C105" s="31"/>
      <c r="D105" s="209">
        <v>1</v>
      </c>
      <c r="E105" s="208">
        <v>10</v>
      </c>
      <c r="F105" s="102">
        <v>50</v>
      </c>
      <c r="G105" s="121">
        <f>$G$90</f>
        <v>5</v>
      </c>
      <c r="H105" s="121">
        <f>$H$90</f>
        <v>20</v>
      </c>
      <c r="I105" s="99">
        <f>IF(D105/B105&lt;0.2,6,AG105*((TINV(G105/2*2/100,AK105-2)+IF(H105&gt;50,-TINV(2-2*H105/100,AK105-2),TINV(2*H105/100,AK105-2)))/B105)^2)</f>
        <v>64.493162915084497</v>
      </c>
      <c r="J105" s="24">
        <f>F105/100*I105</f>
        <v>32.246581457542248</v>
      </c>
      <c r="K105" s="24">
        <f>I105-J105</f>
        <v>32.246581457542248</v>
      </c>
      <c r="L105" s="37"/>
      <c r="M105" s="20">
        <f>(B105*TINV(G105/100,I105-2))/(TINV(G105/100,I105-2)+IF(H105&gt;50,-TINV(2-2*H105/100,I105-2),TINV(2*H105/100,I105-2)))</f>
        <v>0.7022735337059608</v>
      </c>
      <c r="N105" s="28">
        <f>M105-SQRT(AG105/I105)*TINV(1-N103/100,I105-2)</f>
        <v>0</v>
      </c>
      <c r="O105" s="28">
        <f>M105+SQRT(AG105/I105)*TINV(1-N103/100,I105-2)</f>
        <v>1.4045470674119218</v>
      </c>
      <c r="P105" s="28">
        <f>(O105-N105)/2</f>
        <v>0.70227353370596091</v>
      </c>
      <c r="Q105" s="37"/>
      <c r="R105" s="142"/>
      <c r="AD105" s="9"/>
      <c r="AF105" s="178"/>
      <c r="AG105" s="168">
        <f>(2*E105^2-D105^2)/E105^2*D105^2/(F105/100*(1-F105/100))</f>
        <v>7.96</v>
      </c>
      <c r="AH105" s="171">
        <v>5</v>
      </c>
      <c r="AI105" s="171">
        <f>AG105*((TINV(G105/2*2/100,AH105-2)+IF(H105&gt;50,-TINV(2-2*H105/100,AH105-2),TINV(2*H105/100,AH105-2)))/B105)^2</f>
        <v>137.81342019174505</v>
      </c>
      <c r="AJ105" s="171">
        <f>AG105*((TINV(G105/2*2/100,AI105-2)+IF(H105&gt;50,-TINV(2-2*H105/100,AI105-2),TINV(2*H105/100,AI105-2)))/B105)^2</f>
        <v>63.390212312965346</v>
      </c>
      <c r="AK105" s="171">
        <f>AG105*((TINV(G105/2*2/100,AJ105-2)+IF(H105&gt;50,-TINV(2-2*H105/100,AJ105-2),TINV(2*H105/100,AJ105-2)))/B105)^2</f>
        <v>64.527080367201933</v>
      </c>
      <c r="AL105" s="9"/>
      <c r="AM105" s="9"/>
      <c r="AN105" s="9"/>
    </row>
    <row r="106" spans="1:40" s="7" customFormat="1" x14ac:dyDescent="0.2">
      <c r="A106" s="73"/>
      <c r="B106" s="34"/>
      <c r="C106" s="35"/>
      <c r="D106" s="34"/>
      <c r="E106" s="35"/>
      <c r="F106" s="252" t="str">
        <f>IF(D105/B105&lt;0.2,"Typical error &lt;0.20(smallest change). Sample size is set to 6.","")</f>
        <v/>
      </c>
      <c r="G106" s="23" t="str">
        <f>IF(G105&lt;=0.1,"negligible",IF(G105&lt;=0.5,"most unlikely",IF(G105&lt;=5,"very unlikely",IF(G105&lt;=25,"unlikely",IF(G105&lt;=50,"possible","not computed")))))</f>
        <v>very unlikely</v>
      </c>
      <c r="H106" s="23" t="str">
        <f>IF(H105&lt;=0.1,"negligible",IF(H105&lt;=0.5,"most unlikely",IF(H105&lt;=5,"very unlikely",IF(H105&lt;=25,"unlikely",IF(H105&lt;=75,"possible",IF(H105&lt;=95,"likely",IF(H105&lt;=99.5,"very likely","most likely")))))))</f>
        <v>unlikely</v>
      </c>
      <c r="I106" s="36"/>
      <c r="J106" s="36"/>
      <c r="K106" s="36"/>
      <c r="L106" s="36"/>
      <c r="M106" s="36"/>
      <c r="N106" s="36"/>
      <c r="O106" s="36"/>
      <c r="P106" s="36"/>
      <c r="Q106" s="36"/>
      <c r="R106" s="127"/>
      <c r="AD106" s="9"/>
      <c r="AF106" s="8"/>
      <c r="AG106" s="170"/>
      <c r="AH106" s="9"/>
      <c r="AI106" s="9"/>
      <c r="AJ106" s="9"/>
      <c r="AL106" s="9"/>
      <c r="AM106" s="9"/>
      <c r="AN106" s="9"/>
    </row>
    <row r="107" spans="1:40" s="7" customFormat="1" ht="6.95" customHeight="1" x14ac:dyDescent="0.2">
      <c r="A107" s="73"/>
      <c r="B107" s="34"/>
      <c r="C107" s="35"/>
      <c r="D107" s="34"/>
      <c r="E107" s="35"/>
      <c r="F107" s="34"/>
      <c r="G107" s="100"/>
      <c r="H107" s="100"/>
      <c r="I107" s="36"/>
      <c r="J107" s="36"/>
      <c r="K107" s="36"/>
      <c r="L107" s="36"/>
      <c r="M107" s="36"/>
      <c r="N107" s="36"/>
      <c r="O107" s="36"/>
      <c r="P107" s="36"/>
      <c r="Q107" s="36"/>
      <c r="R107" s="127"/>
      <c r="AD107" s="9"/>
      <c r="AF107" s="8"/>
      <c r="AG107" s="136"/>
      <c r="AH107" s="9"/>
      <c r="AI107" s="9"/>
      <c r="AJ107" s="9"/>
      <c r="AL107" s="9"/>
      <c r="AM107" s="9"/>
      <c r="AN107" s="9"/>
    </row>
    <row r="108" spans="1:40" s="7" customFormat="1" ht="12.95" customHeight="1" x14ac:dyDescent="0.2">
      <c r="A108" s="73"/>
      <c r="B108" s="38" t="str">
        <f>B37</f>
        <v>Difference in means in a group comparison or post-only parallel-groups controlled trial</v>
      </c>
      <c r="C108" s="39"/>
      <c r="D108" s="40"/>
      <c r="E108" s="39"/>
      <c r="F108" s="40"/>
      <c r="G108" s="41"/>
      <c r="H108" s="41"/>
      <c r="I108" s="42"/>
      <c r="J108" s="42"/>
      <c r="K108" s="42"/>
      <c r="L108" s="42"/>
      <c r="M108" s="45" t="s">
        <v>37</v>
      </c>
      <c r="N108" s="42"/>
      <c r="O108" s="42"/>
      <c r="P108" s="42"/>
      <c r="Q108" s="42"/>
      <c r="R108" s="127"/>
      <c r="AD108" s="9"/>
      <c r="AF108" s="8"/>
      <c r="AG108" s="136"/>
      <c r="AH108" s="9"/>
      <c r="AI108" s="9"/>
      <c r="AJ108" s="9"/>
      <c r="AL108" s="9"/>
      <c r="AM108" s="9"/>
      <c r="AN108" s="9"/>
    </row>
    <row r="109" spans="1:40" s="7" customFormat="1" ht="4.9000000000000004" customHeight="1" x14ac:dyDescent="0.2">
      <c r="A109" s="73"/>
      <c r="B109" s="38"/>
      <c r="C109" s="39"/>
      <c r="D109" s="40"/>
      <c r="E109" s="39"/>
      <c r="F109" s="40"/>
      <c r="G109" s="41"/>
      <c r="H109" s="41"/>
      <c r="I109" s="42"/>
      <c r="J109" s="42"/>
      <c r="K109" s="42"/>
      <c r="L109" s="42"/>
      <c r="M109" s="45"/>
      <c r="N109" s="42"/>
      <c r="O109" s="42"/>
      <c r="P109" s="42"/>
      <c r="Q109" s="42"/>
      <c r="R109" s="127"/>
      <c r="AD109" s="9"/>
      <c r="AF109" s="8"/>
      <c r="AG109" s="136"/>
      <c r="AH109" s="9"/>
      <c r="AI109" s="9"/>
      <c r="AJ109" s="9"/>
      <c r="AL109" s="9"/>
      <c r="AM109" s="9"/>
      <c r="AN109" s="9"/>
    </row>
    <row r="110" spans="1:40" ht="12.95" customHeight="1" x14ac:dyDescent="0.2">
      <c r="A110" s="134"/>
      <c r="B110" s="43"/>
      <c r="C110" s="307" t="s">
        <v>106</v>
      </c>
      <c r="D110" s="70"/>
      <c r="E110" s="307" t="s">
        <v>21</v>
      </c>
      <c r="F110" s="304" t="s">
        <v>22</v>
      </c>
      <c r="G110" s="298" t="s">
        <v>34</v>
      </c>
      <c r="H110" s="299"/>
      <c r="I110" s="44"/>
      <c r="J110" s="44"/>
      <c r="K110" s="43"/>
      <c r="L110" s="43"/>
      <c r="M110" s="317" t="s">
        <v>41</v>
      </c>
      <c r="N110" s="43"/>
      <c r="O110" s="43"/>
      <c r="P110" s="43"/>
      <c r="Q110" s="43"/>
      <c r="R110" s="134"/>
      <c r="T110" s="10"/>
      <c r="AB110" s="10"/>
      <c r="AE110" s="7"/>
      <c r="AF110" s="11"/>
      <c r="AG110" s="312" t="s">
        <v>3</v>
      </c>
    </row>
    <row r="111" spans="1:40" s="7" customFormat="1" ht="12.95" customHeight="1" x14ac:dyDescent="0.2">
      <c r="A111" s="73"/>
      <c r="B111" s="40"/>
      <c r="C111" s="307"/>
      <c r="D111" s="71"/>
      <c r="E111" s="307"/>
      <c r="F111" s="305"/>
      <c r="G111" s="300"/>
      <c r="H111" s="301"/>
      <c r="I111" s="297" t="s">
        <v>6</v>
      </c>
      <c r="J111" s="297"/>
      <c r="K111" s="297"/>
      <c r="L111" s="42"/>
      <c r="M111" s="318"/>
      <c r="N111" s="133">
        <f>$N$90</f>
        <v>95</v>
      </c>
      <c r="O111" s="295" t="s">
        <v>125</v>
      </c>
      <c r="P111" s="296"/>
      <c r="Q111" s="103"/>
      <c r="R111" s="143"/>
      <c r="AD111" s="9"/>
      <c r="AF111" s="8"/>
      <c r="AG111" s="313"/>
      <c r="AH111" s="9"/>
      <c r="AI111" s="9"/>
      <c r="AJ111" s="9"/>
      <c r="AL111" s="9"/>
      <c r="AM111" s="9"/>
      <c r="AN111" s="9"/>
    </row>
    <row r="112" spans="1:40" s="7" customFormat="1" x14ac:dyDescent="0.2">
      <c r="A112" s="73"/>
      <c r="B112" s="40"/>
      <c r="C112" s="307"/>
      <c r="D112" s="104"/>
      <c r="E112" s="307"/>
      <c r="F112" s="308"/>
      <c r="G112" s="74" t="s">
        <v>44</v>
      </c>
      <c r="H112" s="62" t="s">
        <v>45</v>
      </c>
      <c r="I112" s="22" t="s">
        <v>16</v>
      </c>
      <c r="J112" s="22" t="s">
        <v>60</v>
      </c>
      <c r="K112" s="22" t="s">
        <v>61</v>
      </c>
      <c r="L112" s="42"/>
      <c r="M112" s="318"/>
      <c r="N112" s="22" t="s">
        <v>9</v>
      </c>
      <c r="O112" s="22" t="s">
        <v>10</v>
      </c>
      <c r="P112" s="22" t="s">
        <v>11</v>
      </c>
      <c r="Q112" s="42"/>
      <c r="R112" s="127"/>
      <c r="AD112" s="9"/>
      <c r="AF112" s="8"/>
      <c r="AG112" s="314"/>
      <c r="AH112" s="371" t="s">
        <v>14</v>
      </c>
      <c r="AI112" s="372"/>
      <c r="AJ112" s="373"/>
      <c r="AL112" s="9"/>
      <c r="AM112" s="9"/>
      <c r="AN112" s="9"/>
    </row>
    <row r="113" spans="1:40" s="7" customFormat="1" ht="13.5" customHeight="1" x14ac:dyDescent="0.2">
      <c r="A113" s="73"/>
      <c r="B113" s="40"/>
      <c r="C113" s="209">
        <v>0.2</v>
      </c>
      <c r="D113" s="210"/>
      <c r="E113" s="209">
        <v>1</v>
      </c>
      <c r="F113" s="102">
        <v>50</v>
      </c>
      <c r="G113" s="121">
        <f>$G$90</f>
        <v>5</v>
      </c>
      <c r="H113" s="121">
        <f>$H$90</f>
        <v>20</v>
      </c>
      <c r="I113" s="99">
        <f>IF(E113/C113&lt;0.33,6,AG113*((TINV(G113/2*2/100,AK113-2)+IF(H113&gt;50,-TINV(2-2*H113/100,AK113-2),TINV(2*H113/100,AK113-2)))/(C113))^2)</f>
        <v>786.84422907669432</v>
      </c>
      <c r="J113" s="24">
        <f>F113/100*I113</f>
        <v>393.42211453834716</v>
      </c>
      <c r="K113" s="24">
        <f>I113-J113</f>
        <v>393.42211453834716</v>
      </c>
      <c r="L113" s="46"/>
      <c r="M113" s="20">
        <f>(C113*TINV(G113/100,I113-2))/(TINV(G113/100,I113-2)+IF(H113&gt;50,-TINV(2-2*H113/100,I113-2),TINV(2*H113/100,I113-2)))</f>
        <v>0.13996024136305008</v>
      </c>
      <c r="N113" s="28">
        <f>M113-SQRT(AG113/I113)*TINV(1-N111/100,I113-2)</f>
        <v>0</v>
      </c>
      <c r="O113" s="28">
        <f>M113+SQRT(AG113/I113)*TINV(1-N111/100,I113-2)</f>
        <v>0.27992048272610015</v>
      </c>
      <c r="P113" s="28">
        <f>(O113-N113)/2</f>
        <v>0.13996024136305008</v>
      </c>
      <c r="Q113" s="105"/>
      <c r="R113" s="144"/>
      <c r="S113" s="288"/>
      <c r="AD113" s="9"/>
      <c r="AF113" s="178"/>
      <c r="AG113" s="171">
        <f>E113^2/(F113/100*(1-F113/100))</f>
        <v>4</v>
      </c>
      <c r="AH113" s="171">
        <v>6</v>
      </c>
      <c r="AI113" s="171">
        <f>AG113*((TINV(G113/2*2/100,AH113-2)+IF(H113&gt;50,-TINV(2-2*H113/100,AH113-2),TINV(2*H113/100,AH113-2)))/C113)^2</f>
        <v>1381.9134747046423</v>
      </c>
      <c r="AJ113" s="171">
        <f>AG113*((TINV(G113/2*2/100,AI113-2)+IF(H113&gt;50,-TINV(2-2*H113/100,AI113-2),TINV(2*H113/100,AI113-2)))/C113)^2</f>
        <v>785.99919494299093</v>
      </c>
      <c r="AK113" s="171">
        <f>AG113*((TINV(G113/2*2/100,AJ113-2)+IF(H113&gt;50,-TINV(2-2*H113/100,AJ113-2),TINV(2*H113/100,AJ113-2)))/C113)^2</f>
        <v>786.84673251858362</v>
      </c>
      <c r="AL113" s="9"/>
      <c r="AM113" s="9"/>
      <c r="AN113" s="9"/>
    </row>
    <row r="114" spans="1:40" x14ac:dyDescent="0.2">
      <c r="A114" s="134"/>
      <c r="B114" s="43"/>
      <c r="C114" s="44"/>
      <c r="D114" s="44"/>
      <c r="E114" s="43"/>
      <c r="F114" s="253" t="str">
        <f>IF(E113/C113&lt;0.33,"Btwn-subj. SD &lt;0.33(smallest diff.). Sample size is set to 6.","")</f>
        <v/>
      </c>
      <c r="G114" s="23" t="str">
        <f>IF(G113&lt;=0.1,"negligible",IF(G113&lt;=0.5,"most unlikely",IF(G113&lt;=5,"very unlikely",IF(G113&lt;=25,"unlikely",IF(G113&lt;=50,"possible","not computed")))))</f>
        <v>very unlikely</v>
      </c>
      <c r="H114" s="23" t="str">
        <f>IF(H113&lt;=0.1,"negligible",IF(H113&lt;=0.5,"most unlikely",IF(H113&lt;=5,"very unlikely",IF(H113&lt;=25,"unlikely",IF(H113&lt;=75,"possible",IF(H113&lt;=95,"likely",IF(H113&lt;=99.5,"very likely","most likely")))))))</f>
        <v>unlikely</v>
      </c>
      <c r="I114" s="44"/>
      <c r="J114" s="44"/>
      <c r="K114" s="43"/>
      <c r="L114" s="43"/>
      <c r="M114" s="43"/>
      <c r="N114" s="43"/>
      <c r="O114" s="43"/>
      <c r="P114" s="43"/>
      <c r="Q114" s="43"/>
      <c r="R114" s="134"/>
      <c r="T114" s="10"/>
      <c r="AB114" s="10"/>
      <c r="AE114" s="7"/>
      <c r="AF114" s="11"/>
      <c r="AG114" s="170"/>
      <c r="AH114" s="9"/>
      <c r="AI114" s="181"/>
      <c r="AJ114" s="181"/>
    </row>
    <row r="115" spans="1:40" s="7" customFormat="1" ht="6" customHeight="1" x14ac:dyDescent="0.2">
      <c r="A115" s="73"/>
      <c r="B115" s="40"/>
      <c r="C115" s="40"/>
      <c r="D115" s="40"/>
      <c r="E115" s="40"/>
      <c r="F115" s="40"/>
      <c r="G115" s="47"/>
      <c r="H115" s="47"/>
      <c r="I115" s="40"/>
      <c r="J115" s="40"/>
      <c r="K115" s="40"/>
      <c r="L115" s="40"/>
      <c r="M115" s="40"/>
      <c r="N115" s="40"/>
      <c r="O115" s="40"/>
      <c r="P115" s="40"/>
      <c r="Q115" s="40"/>
      <c r="R115" s="73"/>
      <c r="AD115" s="9"/>
      <c r="AF115" s="9"/>
      <c r="AG115" s="173"/>
      <c r="AH115" s="9"/>
      <c r="AI115" s="189"/>
      <c r="AJ115" s="189"/>
      <c r="AL115" s="9"/>
      <c r="AM115" s="9"/>
      <c r="AN115" s="9"/>
    </row>
    <row r="116" spans="1:40" s="7" customFormat="1" ht="12.95" customHeight="1" x14ac:dyDescent="0.2">
      <c r="A116" s="73"/>
      <c r="B116" s="50" t="str">
        <f>B45</f>
        <v>Correlation in a cross-sectional study</v>
      </c>
      <c r="C116" s="51"/>
      <c r="D116" s="51"/>
      <c r="E116" s="52"/>
      <c r="F116" s="52"/>
      <c r="G116" s="53"/>
      <c r="H116" s="53"/>
      <c r="I116" s="54"/>
      <c r="J116" s="54"/>
      <c r="K116" s="54"/>
      <c r="L116" s="54"/>
      <c r="M116" s="75" t="s">
        <v>37</v>
      </c>
      <c r="N116" s="54"/>
      <c r="O116" s="54"/>
      <c r="P116" s="52"/>
      <c r="Q116" s="54"/>
      <c r="R116" s="127"/>
      <c r="AD116" s="9"/>
      <c r="AF116" s="8"/>
      <c r="AG116" s="136"/>
      <c r="AH116" s="9"/>
      <c r="AI116" s="181"/>
      <c r="AJ116" s="181"/>
      <c r="AL116" s="9"/>
      <c r="AM116" s="9"/>
      <c r="AN116" s="9"/>
    </row>
    <row r="117" spans="1:40" s="7" customFormat="1" ht="6.75" customHeight="1" x14ac:dyDescent="0.2">
      <c r="A117" s="73"/>
      <c r="B117" s="50"/>
      <c r="C117" s="51"/>
      <c r="D117" s="51"/>
      <c r="E117" s="52"/>
      <c r="F117" s="52"/>
      <c r="G117" s="53"/>
      <c r="H117" s="53"/>
      <c r="I117" s="54"/>
      <c r="J117" s="54"/>
      <c r="K117" s="54"/>
      <c r="L117" s="54"/>
      <c r="M117" s="75"/>
      <c r="N117" s="54"/>
      <c r="O117" s="54"/>
      <c r="P117" s="52"/>
      <c r="Q117" s="54"/>
      <c r="R117" s="127"/>
      <c r="AD117" s="9"/>
      <c r="AF117" s="8"/>
      <c r="AG117" s="136"/>
      <c r="AH117" s="9"/>
      <c r="AI117" s="181"/>
      <c r="AJ117" s="181"/>
      <c r="AL117" s="9"/>
      <c r="AM117" s="9"/>
      <c r="AN117" s="9"/>
    </row>
    <row r="118" spans="1:40" ht="12.95" customHeight="1" x14ac:dyDescent="0.2">
      <c r="A118" s="134"/>
      <c r="B118" s="56"/>
      <c r="C118" s="307" t="s">
        <v>35</v>
      </c>
      <c r="D118" s="106"/>
      <c r="E118" s="107"/>
      <c r="F118" s="64"/>
      <c r="G118" s="298" t="s">
        <v>34</v>
      </c>
      <c r="H118" s="299"/>
      <c r="I118" s="57"/>
      <c r="J118" s="57"/>
      <c r="K118" s="58"/>
      <c r="L118" s="58"/>
      <c r="M118" s="317" t="s">
        <v>42</v>
      </c>
      <c r="N118" s="58"/>
      <c r="O118" s="58"/>
      <c r="P118" s="58"/>
      <c r="Q118" s="58"/>
      <c r="R118" s="145"/>
      <c r="T118" s="10"/>
      <c r="AB118" s="10"/>
      <c r="AE118" s="7"/>
      <c r="AF118" s="192"/>
      <c r="AG118" s="312" t="s">
        <v>3</v>
      </c>
      <c r="AI118" s="180"/>
      <c r="AJ118" s="180"/>
    </row>
    <row r="119" spans="1:40" s="7" customFormat="1" ht="12.95" customHeight="1" x14ac:dyDescent="0.2">
      <c r="A119" s="73"/>
      <c r="B119" s="52"/>
      <c r="C119" s="307"/>
      <c r="D119" s="65"/>
      <c r="E119" s="52"/>
      <c r="F119" s="66"/>
      <c r="G119" s="300"/>
      <c r="H119" s="301"/>
      <c r="I119" s="323" t="s">
        <v>6</v>
      </c>
      <c r="J119" s="54"/>
      <c r="K119" s="59"/>
      <c r="L119" s="59"/>
      <c r="M119" s="318"/>
      <c r="N119" s="133">
        <f>$N$90</f>
        <v>95</v>
      </c>
      <c r="O119" s="295" t="s">
        <v>125</v>
      </c>
      <c r="P119" s="296"/>
      <c r="Q119" s="59"/>
      <c r="R119" s="146"/>
      <c r="AD119" s="9"/>
      <c r="AF119" s="193"/>
      <c r="AG119" s="313"/>
      <c r="AH119" s="9"/>
      <c r="AI119" s="180"/>
      <c r="AJ119" s="180"/>
      <c r="AL119" s="9"/>
      <c r="AM119" s="9"/>
      <c r="AN119" s="9"/>
    </row>
    <row r="120" spans="1:40" s="7" customFormat="1" x14ac:dyDescent="0.2">
      <c r="A120" s="73"/>
      <c r="B120" s="52"/>
      <c r="C120" s="307"/>
      <c r="D120" s="65"/>
      <c r="E120" s="52"/>
      <c r="F120" s="66"/>
      <c r="G120" s="74" t="s">
        <v>44</v>
      </c>
      <c r="H120" s="62" t="s">
        <v>45</v>
      </c>
      <c r="I120" s="311"/>
      <c r="J120" s="54"/>
      <c r="K120" s="54"/>
      <c r="L120" s="54"/>
      <c r="M120" s="318"/>
      <c r="N120" s="22" t="s">
        <v>9</v>
      </c>
      <c r="O120" s="22" t="s">
        <v>10</v>
      </c>
      <c r="P120" s="62" t="s">
        <v>46</v>
      </c>
      <c r="Q120" s="54"/>
      <c r="R120" s="127"/>
      <c r="AD120" s="9"/>
      <c r="AF120" s="8"/>
      <c r="AG120" s="314"/>
      <c r="AH120" s="9"/>
      <c r="AI120" s="180"/>
      <c r="AJ120" s="180"/>
      <c r="AL120" s="9"/>
      <c r="AM120" s="9"/>
      <c r="AN120" s="9"/>
    </row>
    <row r="121" spans="1:40" s="7" customFormat="1" ht="13.5" customHeight="1" x14ac:dyDescent="0.2">
      <c r="A121" s="73"/>
      <c r="B121" s="52"/>
      <c r="C121" s="21">
        <v>0.1</v>
      </c>
      <c r="D121" s="67"/>
      <c r="E121" s="108"/>
      <c r="F121" s="68"/>
      <c r="G121" s="121">
        <f>$G$90</f>
        <v>5</v>
      </c>
      <c r="H121" s="121">
        <f>$H$90</f>
        <v>20</v>
      </c>
      <c r="I121" s="99">
        <f>AG121*((NORMSINV(1-G121/2/100)+NORMSINV(1-H121/100))/(FISHER(C121)))^2+3</f>
        <v>782.65012761110563</v>
      </c>
      <c r="J121" s="60"/>
      <c r="K121" s="60"/>
      <c r="L121" s="60"/>
      <c r="M121" s="20">
        <f>FISHERINV((FISHER(C121)*NORMSINV(1-G121/100/2))/(NORMSINV(1-G121/100/2)+NORMSINV(1-H121/100)))</f>
        <v>7.0078654312971972E-2</v>
      </c>
      <c r="N121" s="28">
        <f>FISHERINV(FISHER(M121)+SQRT(AG121/(I121-3))*NORMSINV((1-N119/100)/2))</f>
        <v>0</v>
      </c>
      <c r="O121" s="28">
        <f>FISHERINV(FISHER(M121)+SQRT(AG121/(I121-3))*NORMSINV(1-(1-N119/100)/2))</f>
        <v>0.13947235739750732</v>
      </c>
      <c r="P121" s="28">
        <f>(O121-N121)/2</f>
        <v>6.9736178698753662E-2</v>
      </c>
      <c r="Q121" s="60"/>
      <c r="R121" s="144"/>
      <c r="AD121" s="9"/>
      <c r="AF121" s="194"/>
      <c r="AG121" s="171">
        <v>1</v>
      </c>
      <c r="AH121" s="9"/>
      <c r="AI121" s="190"/>
      <c r="AJ121" s="190"/>
      <c r="AL121" s="9"/>
      <c r="AM121" s="9"/>
      <c r="AN121" s="9"/>
    </row>
    <row r="122" spans="1:40" x14ac:dyDescent="0.2">
      <c r="A122" s="134"/>
      <c r="B122" s="56"/>
      <c r="C122" s="57"/>
      <c r="D122" s="57"/>
      <c r="E122" s="56"/>
      <c r="F122" s="56"/>
      <c r="G122" s="23" t="str">
        <f>IF(G121&lt;=0.1,"negligible",IF(G121&lt;=0.5,"most unlikely",IF(G121&lt;=5,"very unlikely",IF(G121&lt;=25,"unlikely",IF(G121&lt;=50,"possible","not computed")))))</f>
        <v>very unlikely</v>
      </c>
      <c r="H122" s="23" t="str">
        <f>IF(H121&lt;=0.1,"negligible",IF(H121&lt;=0.5,"most unlikely",IF(H121&lt;=5,"very unlikely",IF(H121&lt;=25,"unlikely",IF(H121&lt;=75,"possible",IF(H121&lt;=95,"likely",IF(H121&lt;=99.5,"very likely","most likely")))))))</f>
        <v>unlikely</v>
      </c>
      <c r="I122" s="57"/>
      <c r="J122" s="57"/>
      <c r="K122" s="56"/>
      <c r="L122" s="56"/>
      <c r="M122" s="56"/>
      <c r="N122" s="56"/>
      <c r="O122" s="56"/>
      <c r="P122" s="56"/>
      <c r="Q122" s="56"/>
      <c r="R122" s="134"/>
      <c r="T122" s="10"/>
      <c r="AB122" s="10"/>
      <c r="AE122" s="7"/>
      <c r="AF122" s="11"/>
      <c r="AG122" s="10"/>
      <c r="AH122" s="9"/>
      <c r="AI122" s="181"/>
      <c r="AJ122" s="181"/>
      <c r="AK122" s="170"/>
    </row>
    <row r="123" spans="1:40" ht="7.5" customHeight="1" x14ac:dyDescent="0.2">
      <c r="A123" s="134"/>
      <c r="B123" s="56"/>
      <c r="C123" s="52"/>
      <c r="D123" s="52"/>
      <c r="E123" s="52"/>
      <c r="F123" s="52"/>
      <c r="G123" s="109"/>
      <c r="H123" s="109"/>
      <c r="I123" s="56"/>
      <c r="J123" s="56"/>
      <c r="K123" s="56"/>
      <c r="L123" s="56"/>
      <c r="M123" s="56"/>
      <c r="N123" s="52"/>
      <c r="O123" s="52"/>
      <c r="P123" s="52"/>
      <c r="Q123" s="56"/>
      <c r="R123" s="134"/>
      <c r="T123" s="10"/>
      <c r="AB123" s="10"/>
      <c r="AE123" s="7"/>
      <c r="AF123" s="11"/>
      <c r="AG123" s="7"/>
      <c r="AH123" s="9"/>
      <c r="AI123" s="189"/>
      <c r="AJ123" s="189"/>
      <c r="AK123" s="172"/>
    </row>
    <row r="124" spans="1:40" x14ac:dyDescent="0.2">
      <c r="A124" s="134"/>
      <c r="B124" s="211" t="str">
        <f>B53</f>
        <v>Count ratio in a prospective cohort study, group comparison, or post-only parallel-groups controlled trial</v>
      </c>
      <c r="C124" s="212"/>
      <c r="D124" s="212"/>
      <c r="E124" s="212"/>
      <c r="F124" s="212"/>
      <c r="G124" s="214"/>
      <c r="H124" s="214"/>
      <c r="I124" s="212"/>
      <c r="J124" s="212"/>
      <c r="K124" s="212"/>
      <c r="L124" s="212"/>
      <c r="M124" s="215"/>
      <c r="N124" s="212"/>
      <c r="O124" s="212"/>
      <c r="P124" s="212"/>
      <c r="Q124" s="212"/>
      <c r="R124" s="134"/>
      <c r="T124" s="10"/>
      <c r="AB124" s="10"/>
      <c r="AE124" s="7"/>
      <c r="AF124" s="11"/>
      <c r="AG124" s="7"/>
      <c r="AH124" s="9"/>
      <c r="AI124" s="189"/>
      <c r="AJ124" s="189"/>
      <c r="AK124" s="172"/>
    </row>
    <row r="125" spans="1:40" s="7" customFormat="1" ht="12.95" customHeight="1" x14ac:dyDescent="0.2">
      <c r="A125" s="73"/>
      <c r="B125" s="213" t="s">
        <v>111</v>
      </c>
      <c r="C125" s="213"/>
      <c r="D125" s="213"/>
      <c r="E125" s="213"/>
      <c r="F125" s="213"/>
      <c r="G125" s="223"/>
      <c r="H125" s="223"/>
      <c r="I125" s="213"/>
      <c r="J125" s="213"/>
      <c r="K125" s="213"/>
      <c r="L125" s="213"/>
      <c r="M125" s="213"/>
      <c r="N125" s="213"/>
      <c r="O125" s="213"/>
      <c r="P125" s="213"/>
      <c r="Q125" s="213"/>
      <c r="R125" s="134"/>
      <c r="S125" s="10"/>
      <c r="T125" s="10"/>
      <c r="U125" s="10"/>
      <c r="V125" s="10"/>
      <c r="W125" s="10"/>
      <c r="X125" s="10"/>
      <c r="Y125" s="10"/>
      <c r="Z125" s="10"/>
      <c r="AA125" s="10"/>
      <c r="AB125" s="10"/>
      <c r="AC125" s="10"/>
      <c r="AD125" s="11"/>
      <c r="AF125" s="188"/>
      <c r="AG125" s="9"/>
      <c r="AH125" s="9"/>
      <c r="AI125" s="9"/>
      <c r="AJ125" s="9"/>
      <c r="AK125" s="9"/>
      <c r="AL125" s="9"/>
      <c r="AM125" s="9"/>
      <c r="AN125" s="9"/>
    </row>
    <row r="126" spans="1:40" s="7" customFormat="1" ht="12.95" customHeight="1" x14ac:dyDescent="0.2">
      <c r="A126" s="73"/>
      <c r="B126" s="213" t="s">
        <v>117</v>
      </c>
      <c r="C126" s="213"/>
      <c r="D126" s="213"/>
      <c r="E126" s="213"/>
      <c r="F126" s="213"/>
      <c r="G126" s="223"/>
      <c r="H126" s="223"/>
      <c r="I126" s="213"/>
      <c r="J126" s="213"/>
      <c r="K126" s="213"/>
      <c r="L126" s="213"/>
      <c r="M126" s="213"/>
      <c r="N126" s="213"/>
      <c r="O126" s="213"/>
      <c r="P126" s="213"/>
      <c r="Q126" s="213"/>
      <c r="R126" s="134"/>
      <c r="S126" s="10"/>
      <c r="T126" s="10"/>
      <c r="U126" s="10"/>
      <c r="V126" s="10"/>
      <c r="W126" s="10"/>
      <c r="X126" s="10"/>
      <c r="Y126" s="10"/>
      <c r="Z126" s="10"/>
      <c r="AA126" s="10"/>
      <c r="AB126" s="10"/>
      <c r="AC126" s="10"/>
      <c r="AD126" s="11"/>
      <c r="AF126" s="188"/>
      <c r="AG126" s="9"/>
      <c r="AH126" s="9"/>
      <c r="AI126" s="9"/>
      <c r="AJ126" s="9"/>
      <c r="AK126" s="9"/>
      <c r="AL126" s="9"/>
      <c r="AM126" s="9"/>
      <c r="AN126" s="9"/>
    </row>
    <row r="127" spans="1:40" ht="7.15" customHeight="1" x14ac:dyDescent="0.2">
      <c r="A127" s="134"/>
      <c r="B127" s="211"/>
      <c r="C127" s="212"/>
      <c r="D127" s="212"/>
      <c r="E127" s="212"/>
      <c r="F127" s="212"/>
      <c r="G127" s="214"/>
      <c r="H127" s="214"/>
      <c r="I127" s="212"/>
      <c r="J127" s="212"/>
      <c r="K127" s="212"/>
      <c r="L127" s="212"/>
      <c r="M127" s="215"/>
      <c r="N127" s="212"/>
      <c r="O127" s="212"/>
      <c r="P127" s="212"/>
      <c r="Q127" s="212"/>
      <c r="R127" s="134"/>
      <c r="T127" s="10"/>
      <c r="AB127" s="10"/>
      <c r="AE127" s="7"/>
      <c r="AF127" s="11"/>
      <c r="AG127" s="7"/>
      <c r="AH127" s="9"/>
      <c r="AI127" s="189"/>
      <c r="AJ127" s="189"/>
      <c r="AK127" s="172"/>
    </row>
    <row r="128" spans="1:40" ht="13.5" customHeight="1" x14ac:dyDescent="0.2">
      <c r="A128" s="134"/>
      <c r="B128" s="211"/>
      <c r="C128" s="328" t="s">
        <v>71</v>
      </c>
      <c r="D128" s="329"/>
      <c r="E128" s="49">
        <v>20</v>
      </c>
      <c r="F128" s="215" t="s">
        <v>80</v>
      </c>
      <c r="G128" s="214"/>
      <c r="H128" s="214"/>
      <c r="I128" s="212"/>
      <c r="J128" s="212"/>
      <c r="K128" s="212"/>
      <c r="L128" s="212"/>
      <c r="M128" s="215"/>
      <c r="N128" s="212"/>
      <c r="O128" s="212"/>
      <c r="P128" s="212"/>
      <c r="Q128" s="212"/>
      <c r="R128" s="134"/>
      <c r="T128" s="10"/>
      <c r="AB128" s="10"/>
      <c r="AE128" s="7"/>
      <c r="AF128" s="11"/>
      <c r="AG128" s="7"/>
      <c r="AH128" s="9"/>
      <c r="AI128" s="189"/>
      <c r="AJ128" s="189"/>
      <c r="AK128" s="172"/>
    </row>
    <row r="129" spans="1:40" ht="13.9" customHeight="1" x14ac:dyDescent="0.2">
      <c r="A129" s="134"/>
      <c r="B129" s="211"/>
      <c r="C129" s="330"/>
      <c r="D129" s="331"/>
      <c r="E129" s="224"/>
      <c r="F129" s="213"/>
      <c r="G129" s="214"/>
      <c r="H129" s="214"/>
      <c r="I129" s="212"/>
      <c r="J129" s="212"/>
      <c r="K129" s="212"/>
      <c r="L129" s="212"/>
      <c r="M129" s="215" t="s">
        <v>114</v>
      </c>
      <c r="N129" s="212"/>
      <c r="O129" s="212"/>
      <c r="P129" s="212"/>
      <c r="Q129" s="212"/>
      <c r="R129" s="134"/>
      <c r="T129" s="10"/>
      <c r="AB129" s="10"/>
      <c r="AE129" s="7"/>
      <c r="AF129" s="11"/>
      <c r="AG129" s="7"/>
      <c r="AH129" s="9"/>
      <c r="AI129" s="189"/>
      <c r="AJ129" s="189"/>
      <c r="AK129" s="172"/>
    </row>
    <row r="130" spans="1:40" ht="12" customHeight="1" x14ac:dyDescent="0.2">
      <c r="A130" s="134"/>
      <c r="B130" s="211"/>
      <c r="C130" s="212"/>
      <c r="D130" s="212"/>
      <c r="E130" s="304" t="s">
        <v>79</v>
      </c>
      <c r="F130" s="307" t="s">
        <v>62</v>
      </c>
      <c r="G130" s="214"/>
      <c r="H130" s="214"/>
      <c r="I130" s="212"/>
      <c r="J130" s="212"/>
      <c r="K130" s="212"/>
      <c r="L130" s="212"/>
      <c r="M130" s="215" t="s">
        <v>115</v>
      </c>
      <c r="N130" s="212"/>
      <c r="O130" s="212"/>
      <c r="P130" s="212"/>
      <c r="Q130" s="212"/>
      <c r="R130" s="134"/>
      <c r="T130" s="10"/>
      <c r="AB130" s="10"/>
      <c r="AE130" s="7"/>
      <c r="AF130" s="11"/>
      <c r="AG130" s="7"/>
      <c r="AH130" s="9"/>
      <c r="AI130" s="189"/>
      <c r="AJ130" s="189"/>
      <c r="AK130" s="172"/>
    </row>
    <row r="131" spans="1:40" ht="21.75" customHeight="1" x14ac:dyDescent="0.2">
      <c r="A131" s="134"/>
      <c r="B131" s="212"/>
      <c r="C131" s="212"/>
      <c r="D131" s="212"/>
      <c r="E131" s="305"/>
      <c r="F131" s="307"/>
      <c r="G131" s="298" t="s">
        <v>34</v>
      </c>
      <c r="H131" s="299"/>
      <c r="I131" s="297" t="s">
        <v>6</v>
      </c>
      <c r="J131" s="297"/>
      <c r="K131" s="297"/>
      <c r="L131" s="216"/>
      <c r="M131" s="317" t="s">
        <v>107</v>
      </c>
      <c r="N131" s="216"/>
      <c r="O131" s="216"/>
      <c r="P131" s="216"/>
      <c r="Q131" s="216"/>
      <c r="R131" s="127"/>
      <c r="T131" s="10"/>
      <c r="AB131" s="10"/>
      <c r="AE131" s="7"/>
      <c r="AF131" s="8"/>
      <c r="AG131" s="312" t="s">
        <v>3</v>
      </c>
      <c r="AH131" s="9"/>
      <c r="AI131" s="180"/>
      <c r="AJ131" s="180"/>
    </row>
    <row r="132" spans="1:40" ht="12.95" customHeight="1" x14ac:dyDescent="0.2">
      <c r="A132" s="134"/>
      <c r="B132" s="212"/>
      <c r="C132" s="304" t="s">
        <v>53</v>
      </c>
      <c r="D132" s="217"/>
      <c r="E132" s="305"/>
      <c r="F132" s="307"/>
      <c r="G132" s="300"/>
      <c r="H132" s="301"/>
      <c r="I132" s="315" t="s">
        <v>26</v>
      </c>
      <c r="J132" s="309" t="s">
        <v>59</v>
      </c>
      <c r="K132" s="309"/>
      <c r="L132" s="216"/>
      <c r="M132" s="318"/>
      <c r="N132" s="133">
        <f>$N$90</f>
        <v>95</v>
      </c>
      <c r="O132" s="295" t="s">
        <v>125</v>
      </c>
      <c r="P132" s="296"/>
      <c r="Q132" s="216"/>
      <c r="R132" s="127"/>
      <c r="T132" s="10"/>
      <c r="AB132" s="10"/>
      <c r="AE132" s="7"/>
      <c r="AF132" s="8"/>
      <c r="AG132" s="313"/>
      <c r="AI132" s="180"/>
      <c r="AJ132" s="180"/>
    </row>
    <row r="133" spans="1:40" ht="13.5" customHeight="1" x14ac:dyDescent="0.2">
      <c r="A133" s="134"/>
      <c r="B133" s="212"/>
      <c r="C133" s="308"/>
      <c r="D133" s="218"/>
      <c r="E133" s="49"/>
      <c r="F133" s="307"/>
      <c r="G133" s="74" t="s">
        <v>44</v>
      </c>
      <c r="H133" s="62" t="s">
        <v>45</v>
      </c>
      <c r="I133" s="316"/>
      <c r="J133" s="22" t="s">
        <v>60</v>
      </c>
      <c r="K133" s="22" t="s">
        <v>61</v>
      </c>
      <c r="L133" s="216"/>
      <c r="M133" s="318"/>
      <c r="N133" s="22" t="s">
        <v>9</v>
      </c>
      <c r="O133" s="22" t="s">
        <v>10</v>
      </c>
      <c r="P133" s="269" t="s">
        <v>11</v>
      </c>
      <c r="Q133" s="216"/>
      <c r="R133" s="127"/>
      <c r="T133" s="10"/>
      <c r="AB133" s="10"/>
      <c r="AE133" s="7"/>
      <c r="AF133" s="8"/>
      <c r="AG133" s="314"/>
      <c r="AI133" s="180"/>
      <c r="AJ133" s="180"/>
    </row>
    <row r="134" spans="1:40" ht="13.5" customHeight="1" x14ac:dyDescent="0.2">
      <c r="A134" s="134"/>
      <c r="B134" s="212"/>
      <c r="C134" s="21">
        <v>1.1100000000000001</v>
      </c>
      <c r="D134" s="219"/>
      <c r="E134" s="270">
        <f>IF(ISBLANK(E133),SQRT(E128),E133)</f>
        <v>4.4721359549995796</v>
      </c>
      <c r="F134" s="102">
        <v>50</v>
      </c>
      <c r="G134" s="121">
        <f>$G$90</f>
        <v>5</v>
      </c>
      <c r="H134" s="121">
        <f>$H$90</f>
        <v>20</v>
      </c>
      <c r="I134" s="99">
        <f>AG134*((NORMSINV(1-G134/2/100)+NORMSINV(1-H134/100))/(C134*E128-E128))^2</f>
        <v>129.7335493280838</v>
      </c>
      <c r="J134" s="24">
        <f>F134/100*I134</f>
        <v>64.866774664041898</v>
      </c>
      <c r="K134" s="24">
        <f>I134-J134</f>
        <v>64.866774664041898</v>
      </c>
      <c r="L134" s="221"/>
      <c r="M134" s="20">
        <f>(C134*E128-E128)*NORMSINV(1-G134/100/2)/(NORMSINV(1-G134/100/2)+NORMSINV(1-H134/100))</f>
        <v>1.5391003415175264</v>
      </c>
      <c r="N134" s="28">
        <f>M134+SQRT(AG134/I134)*NORMSINV((1-N132/100)/2)</f>
        <v>0</v>
      </c>
      <c r="O134" s="28">
        <f>M134+SQRT(AG134/I134)*NORMSINV(1-(1-N132/100)/2)</f>
        <v>3.0782006830350532</v>
      </c>
      <c r="P134" s="28">
        <f>(O134-N134)/2</f>
        <v>1.5391003415175266</v>
      </c>
      <c r="Q134" s="222"/>
      <c r="R134" s="147"/>
      <c r="T134" s="10"/>
      <c r="AB134" s="10"/>
      <c r="AE134" s="7"/>
      <c r="AF134" s="178"/>
      <c r="AG134" s="171">
        <f>E134^2/(F134/100*(1-F134/100))</f>
        <v>80.000000000000014</v>
      </c>
      <c r="AI134" s="190"/>
      <c r="AJ134" s="190"/>
    </row>
    <row r="135" spans="1:40" x14ac:dyDescent="0.2">
      <c r="A135" s="134"/>
      <c r="B135" s="212"/>
      <c r="C135" s="212"/>
      <c r="D135" s="212"/>
      <c r="E135" s="212"/>
      <c r="F135" s="212"/>
      <c r="G135" s="23" t="str">
        <f>IF(G134&lt;=0.1,"negligible",IF(G134&lt;=0.5,"most unlikely",IF(G134&lt;=5,"very unlikely",IF(G134&lt;=25,"unlikely",IF(G134&lt;=50,"possible","not computed")))))</f>
        <v>very unlikely</v>
      </c>
      <c r="H135" s="23" t="str">
        <f>IF(H134&lt;=0.1,"negligible",IF(H134&lt;=0.5,"most unlikely",IF(H134&lt;=5,"very unlikely",IF(H134&lt;=25,"unlikely",IF(H134&lt;=75,"possible",IF(H134&lt;=95,"likely",IF(H134&lt;=99.5,"very likely","most likely")))))))</f>
        <v>unlikely</v>
      </c>
      <c r="I135" s="212"/>
      <c r="J135" s="212"/>
      <c r="K135" s="212"/>
      <c r="L135" s="212"/>
      <c r="M135" s="212"/>
      <c r="N135" s="220"/>
      <c r="O135" s="220"/>
      <c r="P135" s="212"/>
      <c r="Q135" s="212"/>
      <c r="R135" s="134"/>
      <c r="T135" s="10"/>
      <c r="AB135" s="10"/>
      <c r="AE135" s="7"/>
      <c r="AF135" s="11"/>
      <c r="AG135" s="172"/>
      <c r="AI135" s="181"/>
      <c r="AJ135" s="181"/>
    </row>
    <row r="136" spans="1:40" ht="7.5" customHeight="1" x14ac:dyDescent="0.2">
      <c r="A136" s="134"/>
      <c r="B136" s="212"/>
      <c r="C136" s="212"/>
      <c r="D136" s="212"/>
      <c r="E136" s="212"/>
      <c r="F136" s="212"/>
      <c r="G136" s="214"/>
      <c r="H136" s="214"/>
      <c r="I136" s="212"/>
      <c r="J136" s="212"/>
      <c r="K136" s="212"/>
      <c r="L136" s="212"/>
      <c r="M136" s="212"/>
      <c r="N136" s="220"/>
      <c r="O136" s="220"/>
      <c r="P136" s="220"/>
      <c r="Q136" s="212"/>
      <c r="R136" s="134"/>
      <c r="U136" s="11"/>
      <c r="V136" s="172"/>
      <c r="W136" s="9"/>
      <c r="X136" s="189"/>
      <c r="Y136" s="189"/>
      <c r="Z136" s="11"/>
      <c r="AA136" s="11"/>
      <c r="AB136" s="11"/>
      <c r="AC136" s="11"/>
      <c r="AE136" s="10"/>
      <c r="AF136" s="10"/>
      <c r="AG136" s="10"/>
      <c r="AH136" s="10"/>
      <c r="AI136" s="10"/>
      <c r="AJ136" s="10"/>
      <c r="AK136" s="10"/>
      <c r="AL136" s="10"/>
      <c r="AM136" s="10"/>
      <c r="AN136" s="10"/>
    </row>
    <row r="137" spans="1:40" x14ac:dyDescent="0.2">
      <c r="A137" s="134"/>
      <c r="B137" s="76" t="s">
        <v>82</v>
      </c>
      <c r="C137" s="77"/>
      <c r="D137" s="77"/>
      <c r="E137" s="77"/>
      <c r="F137" s="77"/>
      <c r="G137" s="83"/>
      <c r="H137" s="83"/>
      <c r="I137" s="77"/>
      <c r="J137" s="77"/>
      <c r="K137" s="77"/>
      <c r="L137" s="77"/>
      <c r="M137" s="78"/>
      <c r="N137" s="77"/>
      <c r="O137" s="77"/>
      <c r="P137" s="77"/>
      <c r="Q137" s="77"/>
      <c r="R137" s="134"/>
      <c r="T137" s="10"/>
      <c r="AB137" s="10"/>
      <c r="AE137" s="7"/>
      <c r="AF137" s="11"/>
      <c r="AG137" s="7"/>
      <c r="AH137" s="9"/>
      <c r="AI137" s="189"/>
      <c r="AJ137" s="189"/>
      <c r="AK137" s="172"/>
    </row>
    <row r="138" spans="1:40" ht="6" customHeight="1" x14ac:dyDescent="0.2">
      <c r="A138" s="134"/>
      <c r="B138" s="76"/>
      <c r="C138" s="77"/>
      <c r="D138" s="77"/>
      <c r="E138" s="77"/>
      <c r="F138" s="77"/>
      <c r="G138" s="83"/>
      <c r="H138" s="83"/>
      <c r="I138" s="77"/>
      <c r="J138" s="77"/>
      <c r="K138" s="77"/>
      <c r="L138" s="77"/>
      <c r="M138" s="78"/>
      <c r="N138" s="77"/>
      <c r="O138" s="77"/>
      <c r="P138" s="77"/>
      <c r="Q138" s="77"/>
      <c r="R138" s="134"/>
      <c r="T138" s="10"/>
      <c r="AB138" s="10"/>
      <c r="AE138" s="7"/>
      <c r="AF138" s="11"/>
      <c r="AG138" s="7"/>
      <c r="AH138" s="9"/>
      <c r="AI138" s="189"/>
      <c r="AJ138" s="189"/>
      <c r="AK138" s="172"/>
    </row>
    <row r="139" spans="1:40" ht="13.15" customHeight="1" x14ac:dyDescent="0.2">
      <c r="A139" s="134"/>
      <c r="B139" s="76"/>
      <c r="C139" s="77"/>
      <c r="D139" s="77"/>
      <c r="E139" s="304" t="s">
        <v>103</v>
      </c>
      <c r="F139" s="77"/>
      <c r="G139" s="83"/>
      <c r="H139" s="375" t="s">
        <v>78</v>
      </c>
      <c r="I139" s="77"/>
      <c r="J139" s="77"/>
      <c r="K139" s="77"/>
      <c r="L139" s="77"/>
      <c r="M139" s="78"/>
      <c r="N139" s="77"/>
      <c r="O139" s="77"/>
      <c r="P139" s="77"/>
      <c r="Q139" s="77"/>
      <c r="R139" s="134"/>
      <c r="T139" s="10"/>
      <c r="AB139" s="10"/>
      <c r="AE139" s="7"/>
      <c r="AF139" s="11"/>
      <c r="AG139" s="7"/>
      <c r="AH139" s="9"/>
      <c r="AI139" s="189"/>
      <c r="AJ139" s="189"/>
      <c r="AK139" s="172"/>
    </row>
    <row r="140" spans="1:40" x14ac:dyDescent="0.2">
      <c r="A140" s="134"/>
      <c r="B140" s="76"/>
      <c r="C140" s="307" t="s">
        <v>70</v>
      </c>
      <c r="D140" s="77"/>
      <c r="E140" s="305"/>
      <c r="F140" s="304" t="s">
        <v>102</v>
      </c>
      <c r="G140" s="83"/>
      <c r="H140" s="375"/>
      <c r="I140" s="235">
        <f>IF(ISNUMBER(C145),(E145+C145)/(100-E145-C145)/((E145)/(100-E145)),IF(ISNUMBER(C144),C144,IF(ISNUMBER(C143),(1-(1-E145/100)^C143)/(1-E145/100)^C143/(E145/(100-E145)),IF(ISNUMBER(C142),C142*(1-E145/100)/(1-C142*E145/100),""))))</f>
        <v>1.1584564730088547</v>
      </c>
      <c r="J140" s="77"/>
      <c r="K140" s="77"/>
      <c r="L140" s="77"/>
      <c r="M140" s="77" t="s">
        <v>37</v>
      </c>
      <c r="N140" s="77"/>
      <c r="O140" s="77"/>
      <c r="P140" s="77"/>
      <c r="Q140" s="77"/>
      <c r="R140" s="134"/>
      <c r="T140" s="10"/>
      <c r="AB140" s="10"/>
      <c r="AE140" s="7"/>
      <c r="AF140" s="11"/>
      <c r="AG140" s="7"/>
      <c r="AH140" s="9"/>
      <c r="AI140" s="189"/>
      <c r="AJ140" s="189"/>
      <c r="AK140" s="172"/>
    </row>
    <row r="141" spans="1:40" x14ac:dyDescent="0.2">
      <c r="A141" s="134"/>
      <c r="B141" s="76"/>
      <c r="C141" s="307"/>
      <c r="D141" s="77"/>
      <c r="E141" s="305"/>
      <c r="F141" s="305"/>
      <c r="G141" s="83"/>
      <c r="H141" s="83"/>
      <c r="I141" s="77"/>
      <c r="J141" s="77"/>
      <c r="K141" s="77"/>
      <c r="L141" s="77"/>
      <c r="M141" s="77" t="s">
        <v>113</v>
      </c>
      <c r="N141" s="77"/>
      <c r="O141" s="77"/>
      <c r="P141" s="77"/>
      <c r="Q141" s="77"/>
      <c r="R141" s="134"/>
      <c r="T141" s="10"/>
      <c r="AB141" s="10"/>
      <c r="AE141" s="7"/>
      <c r="AF141" s="11"/>
      <c r="AG141" s="7"/>
      <c r="AH141" s="9"/>
      <c r="AI141" s="189"/>
      <c r="AJ141" s="189"/>
      <c r="AK141" s="172"/>
    </row>
    <row r="142" spans="1:40" ht="13.5" customHeight="1" x14ac:dyDescent="0.2">
      <c r="A142" s="134"/>
      <c r="B142" s="233" t="s">
        <v>56</v>
      </c>
      <c r="C142" s="231"/>
      <c r="D142" s="110"/>
      <c r="E142" s="305"/>
      <c r="F142" s="305"/>
      <c r="G142" s="298" t="s">
        <v>34</v>
      </c>
      <c r="H142" s="299"/>
      <c r="I142" s="297" t="s">
        <v>6</v>
      </c>
      <c r="J142" s="297"/>
      <c r="K142" s="297"/>
      <c r="L142" s="80"/>
      <c r="M142" s="317" t="s">
        <v>43</v>
      </c>
      <c r="N142" s="80"/>
      <c r="O142" s="80"/>
      <c r="P142" s="80"/>
      <c r="Q142" s="80"/>
      <c r="R142" s="127"/>
      <c r="T142" s="10"/>
      <c r="AB142" s="10"/>
      <c r="AE142" s="7"/>
      <c r="AF142" s="8"/>
      <c r="AG142" s="312" t="s">
        <v>3</v>
      </c>
      <c r="AH142" s="9"/>
      <c r="AI142" s="180"/>
      <c r="AJ142" s="180"/>
    </row>
    <row r="143" spans="1:40" ht="13.5" customHeight="1" x14ac:dyDescent="0.2">
      <c r="A143" s="134"/>
      <c r="B143" s="232" t="s">
        <v>54</v>
      </c>
      <c r="C143" s="231">
        <v>1.1100000000000001</v>
      </c>
      <c r="D143" s="111"/>
      <c r="E143" s="305"/>
      <c r="F143" s="305"/>
      <c r="G143" s="300"/>
      <c r="H143" s="301"/>
      <c r="I143" s="315" t="s">
        <v>26</v>
      </c>
      <c r="J143" s="309" t="s">
        <v>59</v>
      </c>
      <c r="K143" s="309"/>
      <c r="L143" s="80"/>
      <c r="M143" s="318"/>
      <c r="N143" s="133">
        <f>$N$90</f>
        <v>95</v>
      </c>
      <c r="O143" s="295" t="s">
        <v>125</v>
      </c>
      <c r="P143" s="296"/>
      <c r="Q143" s="80"/>
      <c r="R143" s="127"/>
      <c r="T143" s="10"/>
      <c r="AB143" s="10"/>
      <c r="AE143" s="7"/>
      <c r="AF143" s="8"/>
      <c r="AG143" s="313"/>
      <c r="AI143" s="180"/>
      <c r="AJ143" s="180"/>
    </row>
    <row r="144" spans="1:40" ht="13.5" customHeight="1" x14ac:dyDescent="0.2">
      <c r="A144" s="134"/>
      <c r="B144" s="232" t="s">
        <v>55</v>
      </c>
      <c r="C144" s="231"/>
      <c r="D144" s="111"/>
      <c r="E144" s="308"/>
      <c r="F144" s="308"/>
      <c r="G144" s="74" t="s">
        <v>44</v>
      </c>
      <c r="H144" s="62" t="s">
        <v>45</v>
      </c>
      <c r="I144" s="316"/>
      <c r="J144" s="22" t="s">
        <v>60</v>
      </c>
      <c r="K144" s="22" t="s">
        <v>61</v>
      </c>
      <c r="L144" s="80"/>
      <c r="M144" s="318"/>
      <c r="N144" s="22" t="s">
        <v>9</v>
      </c>
      <c r="O144" s="22" t="s">
        <v>10</v>
      </c>
      <c r="P144" s="22" t="s">
        <v>51</v>
      </c>
      <c r="Q144" s="80"/>
      <c r="R144" s="127"/>
      <c r="T144" s="10"/>
      <c r="AB144" s="10"/>
      <c r="AE144" s="7"/>
      <c r="AF144" s="8"/>
      <c r="AG144" s="314"/>
      <c r="AI144" s="180"/>
      <c r="AJ144" s="180"/>
    </row>
    <row r="145" spans="1:40" ht="13.5" customHeight="1" x14ac:dyDescent="0.2">
      <c r="A145" s="134"/>
      <c r="B145" s="230" t="s">
        <v>112</v>
      </c>
      <c r="C145" s="231"/>
      <c r="D145" s="112"/>
      <c r="E145" s="49">
        <v>50</v>
      </c>
      <c r="F145" s="102">
        <v>50</v>
      </c>
      <c r="G145" s="121">
        <f>$G$90</f>
        <v>5</v>
      </c>
      <c r="H145" s="121">
        <f>$H$90</f>
        <v>20</v>
      </c>
      <c r="I145" s="99">
        <f>AG145*((NORMSINV(1-G145/2/100)+NORMSINV(1-H145/100))/LN(I140))^2</f>
        <v>5820.2989078145438</v>
      </c>
      <c r="J145" s="24">
        <f>F145/100*I145</f>
        <v>2910.1494539072719</v>
      </c>
      <c r="K145" s="24">
        <f>I145-J145</f>
        <v>2910.1494539072719</v>
      </c>
      <c r="L145" s="81"/>
      <c r="M145" s="20">
        <f>EXP((LN(I140)*NORMSINV(1-G145/100/2))/(NORMSINV(1-G145/100/2)+NORMSINV(1-H145/100)))</f>
        <v>1.1083825549121278</v>
      </c>
      <c r="N145" s="28">
        <f>EXP(LN(M145)+SQRT(AG145/I145)*NORMSINV((1-N143/100)/2))</f>
        <v>1</v>
      </c>
      <c r="O145" s="28">
        <f>EXP(LN(M145)+SQRT(AG145/I145)*NORMSINV(1-(1-N143/100)/2))</f>
        <v>1.2285118880335359</v>
      </c>
      <c r="P145" s="28">
        <f>SQRT(O145/N145)</f>
        <v>1.1083825549121278</v>
      </c>
      <c r="Q145" s="113"/>
      <c r="R145" s="147"/>
      <c r="T145" s="10"/>
      <c r="AB145" s="10"/>
      <c r="AE145" s="7"/>
      <c r="AF145" s="178"/>
      <c r="AG145" s="171">
        <f>(1/(F145/100))*(1+1/(I140*E145/(100-E145))+1+I140*E145/(100-E145)) + (1/(1-F145/100))*(1/(E145/100)+1/(1-E145/100))</f>
        <v>16.043348117816102</v>
      </c>
      <c r="AI145" s="190"/>
      <c r="AJ145" s="190"/>
    </row>
    <row r="146" spans="1:40" x14ac:dyDescent="0.2">
      <c r="A146" s="134"/>
      <c r="B146" s="77"/>
      <c r="C146" s="234" t="str">
        <f>IF(COUNTA(C142:C145)=1,"","Error: show only one effect")</f>
        <v/>
      </c>
      <c r="D146" s="77"/>
      <c r="E146" s="77"/>
      <c r="F146" s="77"/>
      <c r="G146" s="23" t="str">
        <f>IF(G145&lt;=0.1,"negligible",IF(G145&lt;=0.5,"most unlikely",IF(G145&lt;=5,"very unlikely",IF(G145&lt;=25,"unlikely",IF(G145&lt;=50,"possible","not computed")))))</f>
        <v>very unlikely</v>
      </c>
      <c r="H146" s="23" t="str">
        <f>IF(H145&lt;=0.1,"negligible",IF(H145&lt;=0.5,"most unlikely",IF(H145&lt;=5,"very unlikely",IF(H145&lt;=25,"unlikely",IF(H145&lt;=75,"possible",IF(H145&lt;=95,"likely",IF(H145&lt;=99.5,"very likely","most likely")))))))</f>
        <v>unlikely</v>
      </c>
      <c r="I146" s="77"/>
      <c r="J146" s="77"/>
      <c r="K146" s="77"/>
      <c r="L146" s="77"/>
      <c r="M146" s="77"/>
      <c r="N146" s="82"/>
      <c r="O146" s="82"/>
      <c r="P146" s="77"/>
      <c r="Q146" s="77"/>
      <c r="R146" s="134"/>
      <c r="T146" s="10"/>
      <c r="AB146" s="10"/>
      <c r="AE146" s="7"/>
      <c r="AF146" s="11"/>
      <c r="AG146" s="172"/>
      <c r="AI146" s="181"/>
      <c r="AJ146" s="181"/>
    </row>
    <row r="147" spans="1:40" ht="7.5" customHeight="1" x14ac:dyDescent="0.2">
      <c r="A147" s="134"/>
      <c r="B147" s="77"/>
      <c r="C147" s="77"/>
      <c r="D147" s="77"/>
      <c r="E147" s="77"/>
      <c r="F147" s="77"/>
      <c r="G147" s="83"/>
      <c r="H147" s="83"/>
      <c r="I147" s="77"/>
      <c r="J147" s="77"/>
      <c r="K147" s="77"/>
      <c r="L147" s="77"/>
      <c r="M147" s="77"/>
      <c r="N147" s="82"/>
      <c r="O147" s="82"/>
      <c r="P147" s="82"/>
      <c r="Q147" s="77"/>
      <c r="R147" s="134"/>
      <c r="T147" s="10"/>
      <c r="AB147" s="10"/>
      <c r="AE147" s="7"/>
      <c r="AF147" s="11"/>
      <c r="AG147" s="172"/>
      <c r="AH147" s="9"/>
      <c r="AI147" s="189"/>
      <c r="AJ147" s="189"/>
    </row>
    <row r="148" spans="1:40" x14ac:dyDescent="0.2">
      <c r="A148" s="134"/>
      <c r="B148" s="84" t="str">
        <f>B77</f>
        <v>Odds ratio in a case-control study</v>
      </c>
      <c r="C148" s="85"/>
      <c r="D148" s="85"/>
      <c r="E148" s="85"/>
      <c r="F148" s="85"/>
      <c r="G148" s="86"/>
      <c r="H148" s="86"/>
      <c r="I148" s="85"/>
      <c r="J148" s="85"/>
      <c r="K148" s="85"/>
      <c r="L148" s="85"/>
      <c r="M148" s="88" t="s">
        <v>37</v>
      </c>
      <c r="N148" s="89"/>
      <c r="O148" s="89"/>
      <c r="P148" s="89"/>
      <c r="Q148" s="85"/>
      <c r="R148" s="134"/>
      <c r="T148" s="10"/>
      <c r="AB148" s="10"/>
      <c r="AE148" s="7"/>
      <c r="AF148" s="11"/>
      <c r="AG148" s="172"/>
      <c r="AH148" s="9"/>
      <c r="AI148" s="189"/>
      <c r="AJ148" s="189"/>
    </row>
    <row r="149" spans="1:40" ht="4.9000000000000004" customHeight="1" x14ac:dyDescent="0.2">
      <c r="A149" s="134"/>
      <c r="B149" s="84"/>
      <c r="C149" s="85"/>
      <c r="D149" s="85"/>
      <c r="E149" s="85"/>
      <c r="F149" s="85"/>
      <c r="G149" s="86"/>
      <c r="H149" s="86"/>
      <c r="I149" s="85"/>
      <c r="J149" s="85"/>
      <c r="K149" s="85"/>
      <c r="L149" s="85"/>
      <c r="M149" s="88"/>
      <c r="N149" s="89"/>
      <c r="O149" s="89"/>
      <c r="P149" s="89"/>
      <c r="Q149" s="85"/>
      <c r="R149" s="134"/>
      <c r="T149" s="10"/>
      <c r="AB149" s="10"/>
      <c r="AE149" s="7"/>
      <c r="AF149" s="11"/>
      <c r="AG149" s="172"/>
      <c r="AH149" s="9"/>
      <c r="AI149" s="189"/>
      <c r="AJ149" s="189"/>
    </row>
    <row r="150" spans="1:40" ht="12.95" customHeight="1" x14ac:dyDescent="0.2">
      <c r="A150" s="134"/>
      <c r="B150" s="85"/>
      <c r="C150" s="307" t="s">
        <v>36</v>
      </c>
      <c r="D150" s="114"/>
      <c r="E150" s="319" t="s">
        <v>29</v>
      </c>
      <c r="F150" s="304" t="s">
        <v>30</v>
      </c>
      <c r="G150" s="298" t="s">
        <v>34</v>
      </c>
      <c r="H150" s="299"/>
      <c r="I150" s="85"/>
      <c r="J150" s="85"/>
      <c r="K150" s="85"/>
      <c r="L150" s="85"/>
      <c r="M150" s="317" t="s">
        <v>43</v>
      </c>
      <c r="N150" s="89"/>
      <c r="O150" s="89"/>
      <c r="P150" s="89"/>
      <c r="Q150" s="85"/>
      <c r="R150" s="134"/>
      <c r="T150" s="10"/>
      <c r="AB150" s="10"/>
      <c r="AE150" s="7"/>
      <c r="AF150" s="11"/>
      <c r="AG150" s="312" t="s">
        <v>3</v>
      </c>
      <c r="AH150" s="9"/>
      <c r="AI150" s="180"/>
      <c r="AJ150" s="180"/>
    </row>
    <row r="151" spans="1:40" ht="12.95" customHeight="1" x14ac:dyDescent="0.2">
      <c r="A151" s="134"/>
      <c r="B151" s="85"/>
      <c r="C151" s="307"/>
      <c r="D151" s="115"/>
      <c r="E151" s="320"/>
      <c r="F151" s="305"/>
      <c r="G151" s="300"/>
      <c r="H151" s="301"/>
      <c r="I151" s="374" t="s">
        <v>6</v>
      </c>
      <c r="J151" s="297"/>
      <c r="K151" s="297"/>
      <c r="L151" s="91"/>
      <c r="M151" s="318"/>
      <c r="N151" s="133">
        <f>$N$90</f>
        <v>95</v>
      </c>
      <c r="O151" s="295" t="s">
        <v>125</v>
      </c>
      <c r="P151" s="296"/>
      <c r="Q151" s="91"/>
      <c r="R151" s="127"/>
      <c r="T151" s="10"/>
      <c r="AB151" s="10"/>
      <c r="AE151" s="7"/>
      <c r="AF151" s="8"/>
      <c r="AG151" s="313"/>
      <c r="AI151" s="180"/>
      <c r="AJ151" s="180"/>
    </row>
    <row r="152" spans="1:40" ht="12.95" customHeight="1" x14ac:dyDescent="0.2">
      <c r="A152" s="134"/>
      <c r="B152" s="85"/>
      <c r="C152" s="307"/>
      <c r="D152" s="115"/>
      <c r="E152" s="321"/>
      <c r="F152" s="308"/>
      <c r="G152" s="74" t="s">
        <v>44</v>
      </c>
      <c r="H152" s="62" t="s">
        <v>45</v>
      </c>
      <c r="I152" s="22" t="s">
        <v>16</v>
      </c>
      <c r="J152" s="22" t="s">
        <v>31</v>
      </c>
      <c r="K152" s="22" t="s">
        <v>32</v>
      </c>
      <c r="L152" s="91"/>
      <c r="M152" s="318"/>
      <c r="N152" s="22" t="s">
        <v>9</v>
      </c>
      <c r="O152" s="22" t="s">
        <v>10</v>
      </c>
      <c r="P152" s="22" t="s">
        <v>51</v>
      </c>
      <c r="Q152" s="91"/>
      <c r="R152" s="127"/>
      <c r="T152" s="10"/>
      <c r="AB152" s="10"/>
      <c r="AE152" s="7"/>
      <c r="AF152" s="8"/>
      <c r="AG152" s="314"/>
      <c r="AI152" s="180"/>
      <c r="AJ152" s="180"/>
    </row>
    <row r="153" spans="1:40" ht="13.5" customHeight="1" x14ac:dyDescent="0.2">
      <c r="A153" s="134"/>
      <c r="B153" s="85"/>
      <c r="C153" s="21">
        <v>1.1100000000000001</v>
      </c>
      <c r="D153" s="116"/>
      <c r="E153" s="49">
        <v>20</v>
      </c>
      <c r="F153" s="102">
        <v>50</v>
      </c>
      <c r="G153" s="121">
        <f>$G$90</f>
        <v>5</v>
      </c>
      <c r="H153" s="121">
        <f>$H$90</f>
        <v>20</v>
      </c>
      <c r="I153" s="99">
        <f>AG153*((NORMSINV(1-G153/2/100)+NORMSINV(1-H153/100))/LN(C153))^2</f>
        <v>17485.164142481852</v>
      </c>
      <c r="J153" s="24">
        <f>F153/100*I153</f>
        <v>8742.5820712409259</v>
      </c>
      <c r="K153" s="24">
        <f>I153-J153</f>
        <v>8742.5820712409259</v>
      </c>
      <c r="L153" s="92"/>
      <c r="M153" s="20">
        <f>EXP((LN(C153)*NORMSINV(1-G153/100/2))/(NORMSINV(1-G153/100/2)+NORMSINV(1-H153/100)))</f>
        <v>1.0757405780388531</v>
      </c>
      <c r="N153" s="28">
        <f>EXP(LN(M153)+SQRT(AG153/I153)*NORMSINV((1-N151/100)/2))</f>
        <v>1</v>
      </c>
      <c r="O153" s="28">
        <f>EXP(LN(M153)+SQRT(AG153/I153)*NORMSINV(1-(1-N151/100)/2))</f>
        <v>1.1572177912393657</v>
      </c>
      <c r="P153" s="28">
        <f>SQRT(O153/N153)</f>
        <v>1.0757405780388531</v>
      </c>
      <c r="Q153" s="117"/>
      <c r="R153" s="147"/>
      <c r="T153" s="10"/>
      <c r="AB153" s="10"/>
      <c r="AE153" s="7"/>
      <c r="AF153" s="178"/>
      <c r="AG153" s="171">
        <f>(1/(F153/100))*(1+1/(C153*E153/(100-E153))+1+C153*E153/(100-E153)) + (1/(1-F153/100))*(1/(E153/100)+1/(1-E153/100))</f>
        <v>24.262207207207204</v>
      </c>
      <c r="AI153" s="190"/>
      <c r="AJ153" s="190"/>
    </row>
    <row r="154" spans="1:40" x14ac:dyDescent="0.2">
      <c r="A154" s="134"/>
      <c r="B154" s="85"/>
      <c r="C154" s="85"/>
      <c r="D154" s="85"/>
      <c r="E154" s="85"/>
      <c r="F154" s="85"/>
      <c r="G154" s="23" t="str">
        <f>IF(G153&lt;=0.1,"negligible",IF(G153&lt;=0.5,"most unlikely",IF(G153&lt;=5,"very unlikely",IF(G153&lt;=25,"unlikely",IF(G153&lt;=50,"possible","not computed")))))</f>
        <v>very unlikely</v>
      </c>
      <c r="H154" s="23" t="str">
        <f>IF(H153&lt;=0.1,"negligible",IF(H153&lt;=0.5,"most unlikely",IF(H153&lt;=5,"very unlikely",IF(H153&lt;=25,"unlikely",IF(H153&lt;=75,"possible",IF(H153&lt;=95,"likely",IF(H153&lt;=99.5,"very likely","most likely")))))))</f>
        <v>unlikely</v>
      </c>
      <c r="I154" s="85"/>
      <c r="J154" s="94"/>
      <c r="K154" s="94"/>
      <c r="L154" s="94"/>
      <c r="M154" s="85"/>
      <c r="N154" s="85"/>
      <c r="O154" s="85"/>
      <c r="P154" s="85"/>
      <c r="Q154" s="85"/>
      <c r="R154" s="134"/>
      <c r="U154" s="195"/>
      <c r="V154" s="7"/>
      <c r="W154" s="9"/>
      <c r="X154" s="181"/>
      <c r="Y154" s="181"/>
      <c r="Z154" s="172"/>
      <c r="AA154" s="11"/>
      <c r="AB154" s="11"/>
      <c r="AC154" s="11"/>
      <c r="AE154" s="10"/>
      <c r="AF154" s="10"/>
      <c r="AG154" s="10"/>
      <c r="AH154" s="10"/>
      <c r="AI154" s="10"/>
      <c r="AJ154" s="10"/>
      <c r="AK154" s="10"/>
      <c r="AL154" s="10"/>
      <c r="AM154" s="10"/>
      <c r="AN154" s="10"/>
    </row>
    <row r="155" spans="1:40" ht="8.4499999999999993" customHeight="1" x14ac:dyDescent="0.2">
      <c r="A155" s="134"/>
      <c r="B155" s="85"/>
      <c r="C155" s="85"/>
      <c r="D155" s="85"/>
      <c r="E155" s="85"/>
      <c r="F155" s="85"/>
      <c r="G155" s="85"/>
      <c r="H155" s="85"/>
      <c r="I155" s="87"/>
      <c r="J155" s="85"/>
      <c r="K155" s="85"/>
      <c r="L155" s="87"/>
      <c r="M155" s="85"/>
      <c r="N155" s="85"/>
      <c r="O155" s="85"/>
      <c r="P155" s="85"/>
      <c r="Q155" s="85"/>
      <c r="R155" s="134"/>
      <c r="U155" s="172"/>
      <c r="V155" s="172"/>
      <c r="W155" s="11"/>
      <c r="X155" s="11"/>
      <c r="Y155" s="11"/>
      <c r="Z155" s="11"/>
      <c r="AA155" s="11"/>
      <c r="AE155" s="10"/>
      <c r="AF155" s="10"/>
      <c r="AG155" s="10"/>
      <c r="AH155" s="9"/>
      <c r="AI155" s="179"/>
      <c r="AJ155" s="179"/>
    </row>
    <row r="156" spans="1:40" ht="8.4499999999999993" customHeight="1" x14ac:dyDescent="0.2">
      <c r="A156" s="134"/>
      <c r="B156" s="134"/>
      <c r="C156" s="134"/>
      <c r="D156" s="134"/>
      <c r="E156" s="134"/>
      <c r="F156" s="134"/>
      <c r="G156" s="134"/>
      <c r="H156" s="134"/>
      <c r="I156" s="135"/>
      <c r="J156" s="134"/>
      <c r="K156" s="134"/>
      <c r="L156" s="134"/>
      <c r="M156" s="134"/>
      <c r="N156" s="134"/>
      <c r="O156" s="134"/>
      <c r="P156" s="134"/>
      <c r="Q156" s="134"/>
      <c r="R156" s="134"/>
      <c r="U156" s="11"/>
      <c r="V156" s="11"/>
      <c r="W156" s="11"/>
      <c r="X156" s="11"/>
      <c r="Y156" s="11"/>
      <c r="Z156" s="11"/>
      <c r="AA156" s="11"/>
      <c r="AE156" s="10"/>
      <c r="AF156" s="10"/>
      <c r="AG156" s="7"/>
      <c r="AH156" s="9"/>
      <c r="AI156" s="179"/>
      <c r="AJ156" s="179"/>
    </row>
    <row r="157" spans="1:40" x14ac:dyDescent="0.2">
      <c r="U157" s="11"/>
      <c r="V157" s="11"/>
      <c r="W157" s="11"/>
      <c r="X157" s="11"/>
      <c r="Y157" s="11"/>
      <c r="Z157" s="11"/>
      <c r="AA157" s="11"/>
    </row>
    <row r="158" spans="1:40" x14ac:dyDescent="0.2">
      <c r="U158" s="11"/>
    </row>
    <row r="159" spans="1:40" x14ac:dyDescent="0.2">
      <c r="U159" s="11"/>
    </row>
    <row r="160" spans="1:40" x14ac:dyDescent="0.2">
      <c r="U160" s="11"/>
    </row>
    <row r="161" spans="21:21" x14ac:dyDescent="0.2">
      <c r="U161" s="11"/>
    </row>
  </sheetData>
  <mergeCells count="211">
    <mergeCell ref="B3:D3"/>
    <mergeCell ref="P5:AA11"/>
    <mergeCell ref="C79:C81"/>
    <mergeCell ref="G87:H88"/>
    <mergeCell ref="D94:D96"/>
    <mergeCell ref="G94:H95"/>
    <mergeCell ref="D79:D81"/>
    <mergeCell ref="E79:E81"/>
    <mergeCell ref="F79:F81"/>
    <mergeCell ref="G79:H80"/>
    <mergeCell ref="C68:C70"/>
    <mergeCell ref="D68:D70"/>
    <mergeCell ref="E68:E73"/>
    <mergeCell ref="I72:I73"/>
    <mergeCell ref="J72:K72"/>
    <mergeCell ref="G71:H72"/>
    <mergeCell ref="H68:H69"/>
    <mergeCell ref="X12:X13"/>
    <mergeCell ref="Y12:Y13"/>
    <mergeCell ref="Q39:Q41"/>
    <mergeCell ref="R31:R33"/>
    <mergeCell ref="S48:T48"/>
    <mergeCell ref="B10:N10"/>
    <mergeCell ref="C23:C25"/>
    <mergeCell ref="B6:N6"/>
    <mergeCell ref="B7:N7"/>
    <mergeCell ref="AH112:AJ112"/>
    <mergeCell ref="AH96:AJ96"/>
    <mergeCell ref="AH104:AJ104"/>
    <mergeCell ref="O111:P111"/>
    <mergeCell ref="M94:M96"/>
    <mergeCell ref="M102:M104"/>
    <mergeCell ref="M110:M112"/>
    <mergeCell ref="O103:P103"/>
    <mergeCell ref="C87:E89"/>
    <mergeCell ref="B90:E90"/>
    <mergeCell ref="B102:B104"/>
    <mergeCell ref="D102:D104"/>
    <mergeCell ref="C110:C112"/>
    <mergeCell ref="E110:E112"/>
    <mergeCell ref="AG79:AG81"/>
    <mergeCell ref="AE59:AF60"/>
    <mergeCell ref="AE70:AF71"/>
    <mergeCell ref="AE78:AF79"/>
    <mergeCell ref="E94:E96"/>
    <mergeCell ref="E102:E104"/>
    <mergeCell ref="AE48:AE49"/>
    <mergeCell ref="F150:F152"/>
    <mergeCell ref="G150:H151"/>
    <mergeCell ref="I151:K151"/>
    <mergeCell ref="O151:P151"/>
    <mergeCell ref="M131:M133"/>
    <mergeCell ref="M150:M152"/>
    <mergeCell ref="O132:P132"/>
    <mergeCell ref="I131:K131"/>
    <mergeCell ref="H139:H140"/>
    <mergeCell ref="F140:F144"/>
    <mergeCell ref="O143:P143"/>
    <mergeCell ref="AE46:AF47"/>
    <mergeCell ref="AF48:AF49"/>
    <mergeCell ref="Q31:Q33"/>
    <mergeCell ref="AF80:AF81"/>
    <mergeCell ref="AE80:AE81"/>
    <mergeCell ref="AG60:AG62"/>
    <mergeCell ref="AE61:AE62"/>
    <mergeCell ref="AF61:AF62"/>
    <mergeCell ref="AG71:AG73"/>
    <mergeCell ref="AE72:AE73"/>
    <mergeCell ref="AF72:AF73"/>
    <mergeCell ref="AG47:AG49"/>
    <mergeCell ref="S61:T61"/>
    <mergeCell ref="S72:T72"/>
    <mergeCell ref="R71:R73"/>
    <mergeCell ref="S80:T80"/>
    <mergeCell ref="AH33:AJ33"/>
    <mergeCell ref="AG39:AG41"/>
    <mergeCell ref="AH41:AJ41"/>
    <mergeCell ref="AG31:AG33"/>
    <mergeCell ref="AE40:AE41"/>
    <mergeCell ref="AF40:AF41"/>
    <mergeCell ref="AE30:AF31"/>
    <mergeCell ref="AE38:AF39"/>
    <mergeCell ref="AF32:AF33"/>
    <mergeCell ref="AE32:AE33"/>
    <mergeCell ref="X38:Z38"/>
    <mergeCell ref="X39:AA40"/>
    <mergeCell ref="AG23:AG25"/>
    <mergeCell ref="S32:T32"/>
    <mergeCell ref="S24:T24"/>
    <mergeCell ref="R23:R25"/>
    <mergeCell ref="AE24:AE25"/>
    <mergeCell ref="AF24:AF25"/>
    <mergeCell ref="R39:R41"/>
    <mergeCell ref="S40:T40"/>
    <mergeCell ref="Q12:R12"/>
    <mergeCell ref="I23:I24"/>
    <mergeCell ref="U17:V17"/>
    <mergeCell ref="I31:K31"/>
    <mergeCell ref="B23:B25"/>
    <mergeCell ref="G16:H17"/>
    <mergeCell ref="AE22:AF23"/>
    <mergeCell ref="Q23:Q25"/>
    <mergeCell ref="X30:Z30"/>
    <mergeCell ref="X31:AA32"/>
    <mergeCell ref="AA12:AA13"/>
    <mergeCell ref="U13:V13"/>
    <mergeCell ref="U14:V14"/>
    <mergeCell ref="U15:V15"/>
    <mergeCell ref="U16:V16"/>
    <mergeCell ref="Z12:Z13"/>
    <mergeCell ref="X22:Z22"/>
    <mergeCell ref="X23:AA24"/>
    <mergeCell ref="S12:W12"/>
    <mergeCell ref="C140:C141"/>
    <mergeCell ref="E139:E144"/>
    <mergeCell ref="M118:M120"/>
    <mergeCell ref="G131:H132"/>
    <mergeCell ref="F130:F133"/>
    <mergeCell ref="C128:D129"/>
    <mergeCell ref="I61:I62"/>
    <mergeCell ref="C60:C62"/>
    <mergeCell ref="D60:D62"/>
    <mergeCell ref="G60:H61"/>
    <mergeCell ref="M60:M62"/>
    <mergeCell ref="C132:C133"/>
    <mergeCell ref="Q47:Q49"/>
    <mergeCell ref="R47:R49"/>
    <mergeCell ref="F102:F104"/>
    <mergeCell ref="G110:H111"/>
    <mergeCell ref="I111:K111"/>
    <mergeCell ref="I119:I120"/>
    <mergeCell ref="G102:H103"/>
    <mergeCell ref="I103:K103"/>
    <mergeCell ref="F70:F73"/>
    <mergeCell ref="O72:P72"/>
    <mergeCell ref="D47:D49"/>
    <mergeCell ref="Q60:Q62"/>
    <mergeCell ref="M79:M81"/>
    <mergeCell ref="Q79:Q81"/>
    <mergeCell ref="I80:K80"/>
    <mergeCell ref="M71:M73"/>
    <mergeCell ref="O90:P90"/>
    <mergeCell ref="Q71:Q73"/>
    <mergeCell ref="O80:P80"/>
    <mergeCell ref="G47:H48"/>
    <mergeCell ref="C57:D58"/>
    <mergeCell ref="C47:C49"/>
    <mergeCell ref="M47:M49"/>
    <mergeCell ref="B94:B96"/>
    <mergeCell ref="I95:I96"/>
    <mergeCell ref="C118:C120"/>
    <mergeCell ref="AG150:AG152"/>
    <mergeCell ref="AG131:AG133"/>
    <mergeCell ref="AG142:AG144"/>
    <mergeCell ref="I132:I133"/>
    <mergeCell ref="J132:K132"/>
    <mergeCell ref="I142:K142"/>
    <mergeCell ref="M142:M144"/>
    <mergeCell ref="I143:I144"/>
    <mergeCell ref="G118:H119"/>
    <mergeCell ref="O119:P119"/>
    <mergeCell ref="E130:E132"/>
    <mergeCell ref="C150:C152"/>
    <mergeCell ref="E150:E152"/>
    <mergeCell ref="AG94:AG96"/>
    <mergeCell ref="AG102:AG104"/>
    <mergeCell ref="AG110:AG112"/>
    <mergeCell ref="AG118:AG120"/>
    <mergeCell ref="O95:P95"/>
    <mergeCell ref="J143:K143"/>
    <mergeCell ref="F110:F112"/>
    <mergeCell ref="G142:H143"/>
    <mergeCell ref="R79:R81"/>
    <mergeCell ref="E39:E41"/>
    <mergeCell ref="F39:F41"/>
    <mergeCell ref="G39:H40"/>
    <mergeCell ref="F31:F33"/>
    <mergeCell ref="I71:K71"/>
    <mergeCell ref="I60:K60"/>
    <mergeCell ref="O61:P61"/>
    <mergeCell ref="J61:K61"/>
    <mergeCell ref="R60:R62"/>
    <mergeCell ref="E31:E33"/>
    <mergeCell ref="O48:P48"/>
    <mergeCell ref="F59:F62"/>
    <mergeCell ref="M31:M32"/>
    <mergeCell ref="O40:P40"/>
    <mergeCell ref="I48:I49"/>
    <mergeCell ref="B8:N9"/>
    <mergeCell ref="B12:N12"/>
    <mergeCell ref="O24:P24"/>
    <mergeCell ref="O19:P19"/>
    <mergeCell ref="I39:K39"/>
    <mergeCell ref="G31:H32"/>
    <mergeCell ref="M39:M40"/>
    <mergeCell ref="O32:P32"/>
    <mergeCell ref="E59:E61"/>
    <mergeCell ref="E23:E25"/>
    <mergeCell ref="M23:M24"/>
    <mergeCell ref="B30:E30"/>
    <mergeCell ref="D39:D41"/>
    <mergeCell ref="C39:C41"/>
    <mergeCell ref="B11:N11"/>
    <mergeCell ref="B31:B33"/>
    <mergeCell ref="C31:C33"/>
    <mergeCell ref="D31:D33"/>
    <mergeCell ref="D23:D25"/>
    <mergeCell ref="G23:H24"/>
    <mergeCell ref="C16:E18"/>
    <mergeCell ref="B19:E19"/>
    <mergeCell ref="P12:P13"/>
  </mergeCells>
  <phoneticPr fontId="15" type="noConversion"/>
  <pageMargins left="0.75" right="0.75" top="1" bottom="1" header="0.5" footer="0.5"/>
  <pageSetup paperSize="9" orientation="portrait"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Sample-size estimation</dc:title>
  <dc:creator>Will G Hopkins</dc:creator>
  <cp:lastModifiedBy>Will</cp:lastModifiedBy>
  <dcterms:created xsi:type="dcterms:W3CDTF">2004-12-18T18:20:27Z</dcterms:created>
  <dcterms:modified xsi:type="dcterms:W3CDTF">2020-07-24T21:03:31Z</dcterms:modified>
</cp:coreProperties>
</file>