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2.xml" ContentType="application/vnd.openxmlformats-officedocument.spreadsheetml.comment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WillsDocuments\sportsci\resource\stats\"/>
    </mc:Choice>
  </mc:AlternateContent>
  <bookViews>
    <workbookView xWindow="58920" yWindow="135" windowWidth="7260" windowHeight="5505"/>
  </bookViews>
  <sheets>
    <sheet name="Sheet1" sheetId="2" r:id="rId1"/>
    <sheet name="Time-series deltas" sheetId="3" r:id="rId2"/>
  </sheets>
  <calcPr calcId="162913"/>
</workbook>
</file>

<file path=xl/calcChain.xml><?xml version="1.0" encoding="utf-8"?>
<calcChain xmlns="http://schemas.openxmlformats.org/spreadsheetml/2006/main">
  <c r="AG107" i="2" l="1"/>
  <c r="AF107" i="2"/>
  <c r="AE107" i="2"/>
  <c r="AD107" i="2"/>
  <c r="AG74" i="2"/>
  <c r="AF74" i="2"/>
  <c r="AE74" i="2"/>
  <c r="AD74" i="2"/>
  <c r="P107" i="2"/>
  <c r="O107" i="2"/>
  <c r="N107" i="2"/>
  <c r="M107" i="2"/>
  <c r="P74" i="2"/>
  <c r="O74" i="2"/>
  <c r="N74" i="2"/>
  <c r="M74" i="2"/>
  <c r="S136" i="2" l="1"/>
  <c r="B136" i="2"/>
  <c r="M85" i="2"/>
  <c r="N85" i="2"/>
  <c r="M86" i="2"/>
  <c r="N86" i="2"/>
  <c r="M87" i="2"/>
  <c r="N87" i="2"/>
  <c r="M88" i="2"/>
  <c r="N88" i="2"/>
  <c r="M89" i="2"/>
  <c r="N89" i="2"/>
  <c r="M90" i="2"/>
  <c r="N90" i="2"/>
  <c r="M91" i="2"/>
  <c r="N91" i="2"/>
  <c r="M92" i="2"/>
  <c r="N92" i="2"/>
  <c r="M93" i="2"/>
  <c r="N93" i="2"/>
  <c r="M94" i="2"/>
  <c r="N94" i="2"/>
  <c r="M95" i="2"/>
  <c r="N95" i="2"/>
  <c r="M96" i="2"/>
  <c r="N96" i="2"/>
  <c r="M97" i="2"/>
  <c r="N97" i="2"/>
  <c r="M98" i="2"/>
  <c r="N98" i="2"/>
  <c r="M99" i="2"/>
  <c r="N99" i="2"/>
  <c r="M100" i="2"/>
  <c r="N100" i="2"/>
  <c r="M101" i="2"/>
  <c r="N101" i="2"/>
  <c r="M102" i="2"/>
  <c r="N102" i="2"/>
  <c r="M103" i="2"/>
  <c r="N103" i="2"/>
  <c r="M104" i="2"/>
  <c r="N104" i="2"/>
  <c r="N106" i="2"/>
  <c r="M52" i="2"/>
  <c r="N52" i="2"/>
  <c r="M53" i="2"/>
  <c r="N53" i="2"/>
  <c r="M54" i="2"/>
  <c r="N54" i="2"/>
  <c r="M55" i="2"/>
  <c r="N55" i="2"/>
  <c r="M56" i="2"/>
  <c r="N56" i="2"/>
  <c r="M57" i="2"/>
  <c r="N57" i="2"/>
  <c r="M58" i="2"/>
  <c r="N58" i="2"/>
  <c r="M59" i="2"/>
  <c r="N59" i="2"/>
  <c r="M60" i="2"/>
  <c r="N60" i="2"/>
  <c r="M61" i="2"/>
  <c r="N61" i="2"/>
  <c r="M62" i="2"/>
  <c r="N62" i="2"/>
  <c r="M63" i="2"/>
  <c r="N63" i="2"/>
  <c r="M64" i="2"/>
  <c r="N64" i="2"/>
  <c r="M65" i="2"/>
  <c r="N65" i="2"/>
  <c r="M66" i="2"/>
  <c r="N66" i="2"/>
  <c r="M67" i="2"/>
  <c r="N67" i="2"/>
  <c r="M68" i="2"/>
  <c r="N68" i="2"/>
  <c r="M69" i="2"/>
  <c r="N69" i="2"/>
  <c r="M70" i="2"/>
  <c r="N70" i="2"/>
  <c r="M71" i="2"/>
  <c r="N71" i="2"/>
  <c r="N73" i="2"/>
  <c r="N223" i="2"/>
  <c r="M106" i="2"/>
  <c r="M73" i="2"/>
  <c r="M223" i="2"/>
  <c r="U85" i="2"/>
  <c r="U86" i="2"/>
  <c r="U87" i="2"/>
  <c r="U88" i="2"/>
  <c r="W85" i="2"/>
  <c r="X85" i="2"/>
  <c r="Y85" i="2"/>
  <c r="Z85" i="2"/>
  <c r="W50" i="2"/>
  <c r="W48" i="2"/>
  <c r="X50" i="2"/>
  <c r="X48" i="2"/>
  <c r="Y50" i="2"/>
  <c r="Y48" i="2"/>
  <c r="Z50" i="2"/>
  <c r="Z48" i="2"/>
  <c r="AA50" i="2"/>
  <c r="AA48" i="2"/>
  <c r="AA85" i="2"/>
  <c r="V85" i="2"/>
  <c r="W86" i="2"/>
  <c r="X86" i="2"/>
  <c r="Y86" i="2"/>
  <c r="Z86" i="2"/>
  <c r="AA86" i="2"/>
  <c r="V86" i="2"/>
  <c r="W87" i="2"/>
  <c r="X87" i="2"/>
  <c r="Y87" i="2"/>
  <c r="Z87" i="2"/>
  <c r="AA87" i="2"/>
  <c r="V87" i="2"/>
  <c r="W88" i="2"/>
  <c r="X88" i="2"/>
  <c r="Y88" i="2"/>
  <c r="Z88" i="2"/>
  <c r="AA88" i="2"/>
  <c r="V88" i="2"/>
  <c r="U89" i="2"/>
  <c r="W89" i="2"/>
  <c r="X89" i="2"/>
  <c r="Y89" i="2"/>
  <c r="Z89" i="2"/>
  <c r="AA89" i="2"/>
  <c r="V89" i="2"/>
  <c r="U90" i="2"/>
  <c r="W90" i="2"/>
  <c r="X90" i="2"/>
  <c r="Y90" i="2"/>
  <c r="Z90" i="2"/>
  <c r="AA90" i="2"/>
  <c r="V90" i="2"/>
  <c r="U91" i="2"/>
  <c r="W91" i="2"/>
  <c r="X91" i="2"/>
  <c r="Y91" i="2"/>
  <c r="Z91" i="2"/>
  <c r="AA91" i="2"/>
  <c r="V91" i="2"/>
  <c r="U92" i="2"/>
  <c r="W92" i="2"/>
  <c r="X92" i="2"/>
  <c r="Y92" i="2"/>
  <c r="Z92" i="2"/>
  <c r="AA92" i="2"/>
  <c r="V92" i="2"/>
  <c r="U93" i="2"/>
  <c r="W93" i="2"/>
  <c r="X93" i="2"/>
  <c r="Y93" i="2"/>
  <c r="Z93" i="2"/>
  <c r="AA93" i="2"/>
  <c r="V93" i="2"/>
  <c r="U94" i="2"/>
  <c r="W94" i="2"/>
  <c r="X94" i="2"/>
  <c r="Y94" i="2"/>
  <c r="Z94" i="2"/>
  <c r="AA94" i="2"/>
  <c r="V94" i="2"/>
  <c r="U95" i="2"/>
  <c r="W95" i="2"/>
  <c r="X95" i="2"/>
  <c r="Y95" i="2"/>
  <c r="Z95" i="2"/>
  <c r="AA95" i="2"/>
  <c r="V95" i="2"/>
  <c r="U96" i="2"/>
  <c r="W96" i="2"/>
  <c r="X96" i="2"/>
  <c r="Y96" i="2"/>
  <c r="Z96" i="2"/>
  <c r="AA96" i="2"/>
  <c r="V96" i="2"/>
  <c r="U97" i="2"/>
  <c r="W97" i="2"/>
  <c r="X97" i="2"/>
  <c r="Y97" i="2"/>
  <c r="Z97" i="2"/>
  <c r="AA97" i="2"/>
  <c r="V97" i="2"/>
  <c r="U98" i="2"/>
  <c r="W98" i="2"/>
  <c r="X98" i="2"/>
  <c r="Y98" i="2"/>
  <c r="Z98" i="2"/>
  <c r="AA98" i="2"/>
  <c r="V98" i="2"/>
  <c r="U99" i="2"/>
  <c r="W99" i="2"/>
  <c r="X99" i="2"/>
  <c r="Y99" i="2"/>
  <c r="Z99" i="2"/>
  <c r="AA99" i="2"/>
  <c r="V99" i="2"/>
  <c r="U100" i="2"/>
  <c r="W100" i="2"/>
  <c r="X100" i="2"/>
  <c r="Y100" i="2"/>
  <c r="Z100" i="2"/>
  <c r="AA100" i="2"/>
  <c r="V100" i="2"/>
  <c r="U101" i="2"/>
  <c r="W101" i="2"/>
  <c r="X101" i="2"/>
  <c r="Y101" i="2"/>
  <c r="Z101" i="2"/>
  <c r="AA101" i="2"/>
  <c r="V101" i="2"/>
  <c r="U102" i="2"/>
  <c r="W102" i="2"/>
  <c r="X102" i="2"/>
  <c r="Y102" i="2"/>
  <c r="Z102" i="2"/>
  <c r="AA102" i="2"/>
  <c r="V102" i="2"/>
  <c r="U103" i="2"/>
  <c r="W103" i="2"/>
  <c r="X103" i="2"/>
  <c r="Y103" i="2"/>
  <c r="Z103" i="2"/>
  <c r="AA103" i="2"/>
  <c r="V103" i="2"/>
  <c r="U104" i="2"/>
  <c r="W104" i="2"/>
  <c r="X104" i="2"/>
  <c r="Y104" i="2"/>
  <c r="Z104" i="2"/>
  <c r="AA104" i="2"/>
  <c r="V104" i="2"/>
  <c r="AG151" i="2"/>
  <c r="AG47" i="2"/>
  <c r="AF151" i="2"/>
  <c r="AF47" i="2"/>
  <c r="AE151" i="2"/>
  <c r="AD151" i="2"/>
  <c r="AG177" i="2"/>
  <c r="AF177" i="2"/>
  <c r="AE177" i="2"/>
  <c r="AD177" i="2"/>
  <c r="D39" i="2"/>
  <c r="AE203" i="2" s="1"/>
  <c r="AE270" i="2" s="1"/>
  <c r="AG203" i="2"/>
  <c r="W129" i="2"/>
  <c r="AF203" i="2"/>
  <c r="AF270" i="2" s="1"/>
  <c r="N105" i="2"/>
  <c r="N72" i="2"/>
  <c r="N137" i="2"/>
  <c r="N147" i="2"/>
  <c r="N139" i="2"/>
  <c r="N75" i="2"/>
  <c r="N108" i="2"/>
  <c r="N138" i="2"/>
  <c r="N146" i="2"/>
  <c r="F44" i="2"/>
  <c r="O151" i="2"/>
  <c r="O47" i="2"/>
  <c r="P47" i="2"/>
  <c r="M203" i="2"/>
  <c r="M204" i="2"/>
  <c r="M105" i="2"/>
  <c r="M72" i="2"/>
  <c r="M137" i="2"/>
  <c r="M147" i="2"/>
  <c r="M139" i="2"/>
  <c r="M75" i="2"/>
  <c r="M108" i="2"/>
  <c r="M138" i="2"/>
  <c r="M146" i="2"/>
  <c r="AG171" i="2"/>
  <c r="AF171" i="2"/>
  <c r="AE171" i="2"/>
  <c r="AD171" i="2"/>
  <c r="AG145" i="2"/>
  <c r="AF145" i="2"/>
  <c r="AE145" i="2"/>
  <c r="AD145" i="2"/>
  <c r="P145" i="2"/>
  <c r="O145" i="2"/>
  <c r="N145" i="2"/>
  <c r="M145" i="2"/>
  <c r="AG264" i="2"/>
  <c r="AF264" i="2"/>
  <c r="AE264" i="2"/>
  <c r="AD264" i="2"/>
  <c r="AG241" i="2"/>
  <c r="AF241" i="2"/>
  <c r="AE241" i="2"/>
  <c r="AD241" i="2"/>
  <c r="P241" i="2"/>
  <c r="O241" i="2"/>
  <c r="N241" i="2"/>
  <c r="M241" i="2"/>
  <c r="AG222" i="2"/>
  <c r="AF222" i="2"/>
  <c r="AE222" i="2"/>
  <c r="AD222" i="2"/>
  <c r="P222" i="2"/>
  <c r="O222" i="2"/>
  <c r="N222" i="2"/>
  <c r="M222" i="2"/>
  <c r="AG197" i="2"/>
  <c r="AF197" i="2"/>
  <c r="AE197" i="2"/>
  <c r="AD197" i="2"/>
  <c r="P197" i="2"/>
  <c r="O197" i="2"/>
  <c r="N197" i="2"/>
  <c r="M197" i="2"/>
  <c r="AB159" i="2"/>
  <c r="AB235" i="2"/>
  <c r="K235" i="2"/>
  <c r="AB211" i="2"/>
  <c r="K211" i="2"/>
  <c r="AB185" i="2"/>
  <c r="K159" i="2"/>
  <c r="F45" i="2"/>
  <c r="F46" i="2"/>
  <c r="F47" i="2"/>
  <c r="W130" i="2"/>
  <c r="AA108" i="2"/>
  <c r="Z108" i="2"/>
  <c r="Y108" i="2"/>
  <c r="X108" i="2"/>
  <c r="W108" i="2"/>
  <c r="V108" i="2"/>
  <c r="U108" i="2"/>
  <c r="F109" i="2"/>
  <c r="F108" i="2"/>
  <c r="F120" i="2"/>
  <c r="G109" i="2"/>
  <c r="G108" i="2"/>
  <c r="G120" i="2"/>
  <c r="H109" i="2"/>
  <c r="H108" i="2"/>
  <c r="H120" i="2"/>
  <c r="I109" i="2"/>
  <c r="I108" i="2"/>
  <c r="I120" i="2"/>
  <c r="J109" i="2"/>
  <c r="J108" i="2"/>
  <c r="J120" i="2"/>
  <c r="D109" i="2"/>
  <c r="D108" i="2"/>
  <c r="D120" i="2"/>
  <c r="B104" i="2"/>
  <c r="C104" i="2"/>
  <c r="K104" i="2"/>
  <c r="D118" i="2"/>
  <c r="M45" i="2"/>
  <c r="O44" i="2"/>
  <c r="S104" i="2"/>
  <c r="T104" i="2"/>
  <c r="AB104" i="2"/>
  <c r="W52" i="2"/>
  <c r="X52" i="2"/>
  <c r="Y52" i="2"/>
  <c r="Z52" i="2"/>
  <c r="AA52" i="2"/>
  <c r="V52" i="2"/>
  <c r="W53" i="2"/>
  <c r="X53" i="2"/>
  <c r="Y53" i="2"/>
  <c r="Z53" i="2"/>
  <c r="AA53" i="2"/>
  <c r="V53" i="2"/>
  <c r="W54" i="2"/>
  <c r="X54" i="2"/>
  <c r="Y54" i="2"/>
  <c r="Z54" i="2"/>
  <c r="AA54" i="2"/>
  <c r="V54" i="2"/>
  <c r="W55" i="2"/>
  <c r="X55" i="2"/>
  <c r="Y55" i="2"/>
  <c r="Z55" i="2"/>
  <c r="AA55" i="2"/>
  <c r="V55" i="2"/>
  <c r="W56" i="2"/>
  <c r="X56" i="2"/>
  <c r="Y56" i="2"/>
  <c r="Z56" i="2"/>
  <c r="AA56" i="2"/>
  <c r="V56" i="2"/>
  <c r="W57" i="2"/>
  <c r="X57" i="2"/>
  <c r="Y57" i="2"/>
  <c r="Z57" i="2"/>
  <c r="AA57" i="2"/>
  <c r="V57" i="2"/>
  <c r="W58" i="2"/>
  <c r="X58" i="2"/>
  <c r="Y58" i="2"/>
  <c r="Z58" i="2"/>
  <c r="AA58" i="2"/>
  <c r="V58" i="2"/>
  <c r="W59" i="2"/>
  <c r="X59" i="2"/>
  <c r="Y59" i="2"/>
  <c r="Z59" i="2"/>
  <c r="AA59" i="2"/>
  <c r="V59" i="2"/>
  <c r="W60" i="2"/>
  <c r="X60" i="2"/>
  <c r="Y60" i="2"/>
  <c r="Z60" i="2"/>
  <c r="AA60" i="2"/>
  <c r="V60" i="2"/>
  <c r="W61" i="2"/>
  <c r="X61" i="2"/>
  <c r="Y61" i="2"/>
  <c r="Z61" i="2"/>
  <c r="AA61" i="2"/>
  <c r="V61" i="2"/>
  <c r="W62" i="2"/>
  <c r="X62" i="2"/>
  <c r="Y62" i="2"/>
  <c r="Z62" i="2"/>
  <c r="AA62" i="2"/>
  <c r="V62" i="2"/>
  <c r="W63" i="2"/>
  <c r="X63" i="2"/>
  <c r="Y63" i="2"/>
  <c r="Z63" i="2"/>
  <c r="AA63" i="2"/>
  <c r="V63" i="2"/>
  <c r="W64" i="2"/>
  <c r="X64" i="2"/>
  <c r="Y64" i="2"/>
  <c r="Z64" i="2"/>
  <c r="AA64" i="2"/>
  <c r="V64" i="2"/>
  <c r="W65" i="2"/>
  <c r="X65" i="2"/>
  <c r="Y65" i="2"/>
  <c r="Z65" i="2"/>
  <c r="AA65" i="2"/>
  <c r="V65" i="2"/>
  <c r="W66" i="2"/>
  <c r="X66" i="2"/>
  <c r="Y66" i="2"/>
  <c r="Z66" i="2"/>
  <c r="AA66" i="2"/>
  <c r="V66" i="2"/>
  <c r="W67" i="2"/>
  <c r="X67" i="2"/>
  <c r="Y67" i="2"/>
  <c r="Z67" i="2"/>
  <c r="AA67" i="2"/>
  <c r="V67" i="2"/>
  <c r="W68" i="2"/>
  <c r="X68" i="2"/>
  <c r="Y68" i="2"/>
  <c r="Z68" i="2"/>
  <c r="AA68" i="2"/>
  <c r="V68" i="2"/>
  <c r="W69" i="2"/>
  <c r="X69" i="2"/>
  <c r="Y69" i="2"/>
  <c r="Z69" i="2"/>
  <c r="AA69" i="2"/>
  <c r="V69" i="2"/>
  <c r="W70" i="2"/>
  <c r="X70" i="2"/>
  <c r="Y70" i="2"/>
  <c r="Z70" i="2"/>
  <c r="AA70" i="2"/>
  <c r="V70" i="2"/>
  <c r="W71" i="2"/>
  <c r="X71" i="2"/>
  <c r="Y71" i="2"/>
  <c r="Z71" i="2"/>
  <c r="AA71" i="2"/>
  <c r="V71" i="2"/>
  <c r="V118" i="2"/>
  <c r="AE45" i="2"/>
  <c r="AG44" i="2"/>
  <c r="U52" i="2"/>
  <c r="U53" i="2"/>
  <c r="U54" i="2"/>
  <c r="U55" i="2"/>
  <c r="U56" i="2"/>
  <c r="U57" i="2"/>
  <c r="U58" i="2"/>
  <c r="U59" i="2"/>
  <c r="U60" i="2"/>
  <c r="U61" i="2"/>
  <c r="U62" i="2"/>
  <c r="U63" i="2"/>
  <c r="U64" i="2"/>
  <c r="U65" i="2"/>
  <c r="U66" i="2"/>
  <c r="U67" i="2"/>
  <c r="U68" i="2"/>
  <c r="U69" i="2"/>
  <c r="U70" i="2"/>
  <c r="U71" i="2"/>
  <c r="U118" i="2"/>
  <c r="AD45" i="2"/>
  <c r="AF44" i="2"/>
  <c r="C85" i="2"/>
  <c r="C86" i="2"/>
  <c r="C87" i="2"/>
  <c r="C88" i="2"/>
  <c r="C89" i="2"/>
  <c r="C90" i="2"/>
  <c r="C91" i="2"/>
  <c r="C92" i="2"/>
  <c r="C93" i="2"/>
  <c r="C94" i="2"/>
  <c r="C95" i="2"/>
  <c r="C96" i="2"/>
  <c r="C97" i="2"/>
  <c r="C98" i="2"/>
  <c r="C99" i="2"/>
  <c r="C100" i="2"/>
  <c r="C101" i="2"/>
  <c r="C102" i="2"/>
  <c r="C103" i="2"/>
  <c r="D111" i="2"/>
  <c r="AB214" i="2"/>
  <c r="K214" i="2"/>
  <c r="AB212" i="2"/>
  <c r="K212" i="2"/>
  <c r="AB188" i="2"/>
  <c r="AB186" i="2"/>
  <c r="AB162" i="2"/>
  <c r="K162" i="2"/>
  <c r="AB160" i="2"/>
  <c r="K160" i="2"/>
  <c r="AA76" i="2"/>
  <c r="AA109" i="2"/>
  <c r="Z76" i="2"/>
  <c r="Z109" i="2"/>
  <c r="Y76" i="2"/>
  <c r="Y109" i="2"/>
  <c r="X76" i="2"/>
  <c r="X109" i="2"/>
  <c r="W76" i="2"/>
  <c r="W109" i="2"/>
  <c r="U76" i="2"/>
  <c r="U109" i="2"/>
  <c r="F76" i="2"/>
  <c r="G76" i="2"/>
  <c r="H76" i="2"/>
  <c r="I76" i="2"/>
  <c r="J76" i="2"/>
  <c r="D76" i="2"/>
  <c r="U73" i="2"/>
  <c r="U75" i="2"/>
  <c r="U106" i="2"/>
  <c r="U119" i="2"/>
  <c r="D73" i="2"/>
  <c r="D75" i="2"/>
  <c r="D106" i="2"/>
  <c r="D119" i="2"/>
  <c r="D215" i="2"/>
  <c r="AA73" i="2"/>
  <c r="AA75" i="2"/>
  <c r="AA106" i="2"/>
  <c r="AA119" i="2"/>
  <c r="Z73" i="2"/>
  <c r="Z75" i="2"/>
  <c r="Z106" i="2"/>
  <c r="Z119" i="2"/>
  <c r="Y73" i="2"/>
  <c r="Y75" i="2"/>
  <c r="Y106" i="2"/>
  <c r="Y119" i="2"/>
  <c r="X73" i="2"/>
  <c r="X75" i="2"/>
  <c r="X106" i="2"/>
  <c r="X119" i="2"/>
  <c r="W73" i="2"/>
  <c r="W75" i="2"/>
  <c r="W106" i="2"/>
  <c r="W119" i="2"/>
  <c r="J73" i="2"/>
  <c r="J75" i="2"/>
  <c r="J106" i="2"/>
  <c r="J119" i="2"/>
  <c r="I73" i="2"/>
  <c r="I75" i="2"/>
  <c r="I106" i="2"/>
  <c r="I119" i="2"/>
  <c r="H73" i="2"/>
  <c r="H75" i="2"/>
  <c r="H106" i="2"/>
  <c r="H119" i="2"/>
  <c r="G73" i="2"/>
  <c r="G75" i="2"/>
  <c r="G106" i="2"/>
  <c r="G119" i="2"/>
  <c r="F73" i="2"/>
  <c r="F75" i="2"/>
  <c r="F106" i="2"/>
  <c r="F119" i="2"/>
  <c r="D143" i="2"/>
  <c r="AD142" i="2"/>
  <c r="M142" i="2"/>
  <c r="AD261" i="2"/>
  <c r="U195" i="2"/>
  <c r="D195" i="2"/>
  <c r="AD194" i="2"/>
  <c r="M194" i="2"/>
  <c r="U143" i="2"/>
  <c r="V106" i="2"/>
  <c r="V109" i="2"/>
  <c r="V105" i="2"/>
  <c r="U105" i="2"/>
  <c r="U72" i="2"/>
  <c r="V51" i="2"/>
  <c r="V196" i="2"/>
  <c r="U51" i="2"/>
  <c r="U196" i="2"/>
  <c r="U190" i="2"/>
  <c r="U173" i="2"/>
  <c r="V170" i="2"/>
  <c r="U170" i="2"/>
  <c r="U169" i="2"/>
  <c r="U164" i="2"/>
  <c r="V147" i="2"/>
  <c r="U147" i="2"/>
  <c r="V144" i="2"/>
  <c r="U144" i="2"/>
  <c r="D164" i="2"/>
  <c r="D216" i="2"/>
  <c r="D105" i="2"/>
  <c r="D72" i="2"/>
  <c r="D147" i="2"/>
  <c r="D199" i="2"/>
  <c r="E196" i="2"/>
  <c r="D196" i="2"/>
  <c r="J170" i="2"/>
  <c r="I170" i="2"/>
  <c r="H170" i="2"/>
  <c r="G170" i="2"/>
  <c r="F170" i="2"/>
  <c r="E170" i="2"/>
  <c r="D170" i="2"/>
  <c r="E144" i="2"/>
  <c r="D144" i="2"/>
  <c r="AD219" i="2"/>
  <c r="W51" i="2"/>
  <c r="X51" i="2"/>
  <c r="Y51" i="2"/>
  <c r="Z51" i="2"/>
  <c r="AA51" i="2"/>
  <c r="F48" i="2"/>
  <c r="G48" i="2"/>
  <c r="H48" i="2"/>
  <c r="I48" i="2"/>
  <c r="J48" i="2"/>
  <c r="E86" i="2"/>
  <c r="E87" i="2"/>
  <c r="E88" i="2"/>
  <c r="E89" i="2"/>
  <c r="E90" i="2"/>
  <c r="E91" i="2"/>
  <c r="E92" i="2"/>
  <c r="E93" i="2"/>
  <c r="E94" i="2"/>
  <c r="E95" i="2"/>
  <c r="E96" i="2"/>
  <c r="E97" i="2"/>
  <c r="E98" i="2"/>
  <c r="E99" i="2"/>
  <c r="E100" i="2"/>
  <c r="E101" i="2"/>
  <c r="E102" i="2"/>
  <c r="E103" i="2"/>
  <c r="E53" i="2"/>
  <c r="E54" i="2"/>
  <c r="E55" i="2"/>
  <c r="E56" i="2"/>
  <c r="E57" i="2"/>
  <c r="E58" i="2"/>
  <c r="E59" i="2"/>
  <c r="E60" i="2"/>
  <c r="E61" i="2"/>
  <c r="E62" i="2"/>
  <c r="E63" i="2"/>
  <c r="E64" i="2"/>
  <c r="E65" i="2"/>
  <c r="E66" i="2"/>
  <c r="E67" i="2"/>
  <c r="E68" i="2"/>
  <c r="E69" i="2"/>
  <c r="E70" i="2"/>
  <c r="E71" i="2"/>
  <c r="M219" i="2"/>
  <c r="F72" i="2"/>
  <c r="G72" i="2"/>
  <c r="H72" i="2"/>
  <c r="I72" i="2"/>
  <c r="J72" i="2"/>
  <c r="AB50" i="2"/>
  <c r="K50" i="2"/>
  <c r="P204" i="2"/>
  <c r="O204" i="2"/>
  <c r="N204" i="2"/>
  <c r="D36" i="2"/>
  <c r="N151" i="2" s="1"/>
  <c r="D37" i="2"/>
  <c r="AG152" i="2"/>
  <c r="AF152" i="2"/>
  <c r="AE152" i="2"/>
  <c r="AD152" i="2"/>
  <c r="D38" i="2"/>
  <c r="AG178" i="2"/>
  <c r="AF178" i="2"/>
  <c r="AE178" i="2"/>
  <c r="AD178" i="2"/>
  <c r="AG204" i="2"/>
  <c r="AG271" i="2" s="1"/>
  <c r="AF204" i="2"/>
  <c r="AE204" i="2"/>
  <c r="AD204" i="2"/>
  <c r="J105" i="2"/>
  <c r="J74" i="2"/>
  <c r="J107" i="2"/>
  <c r="I105" i="2"/>
  <c r="I74" i="2"/>
  <c r="I107" i="2"/>
  <c r="H105" i="2"/>
  <c r="H74" i="2"/>
  <c r="H107" i="2"/>
  <c r="G105" i="2"/>
  <c r="G74" i="2"/>
  <c r="G107" i="2"/>
  <c r="F105" i="2"/>
  <c r="F74" i="2"/>
  <c r="F107" i="2"/>
  <c r="D74" i="2"/>
  <c r="D107" i="2"/>
  <c r="AA105" i="2"/>
  <c r="AA72" i="2"/>
  <c r="AA74" i="2"/>
  <c r="AA107" i="2"/>
  <c r="Z105" i="2"/>
  <c r="Z72" i="2"/>
  <c r="Z74" i="2"/>
  <c r="Z107" i="2"/>
  <c r="Y105" i="2"/>
  <c r="Y72" i="2"/>
  <c r="Y74" i="2"/>
  <c r="Y107" i="2"/>
  <c r="X105" i="2"/>
  <c r="X72" i="2"/>
  <c r="X74" i="2"/>
  <c r="X107" i="2"/>
  <c r="W105" i="2"/>
  <c r="W72" i="2"/>
  <c r="W74" i="2"/>
  <c r="W107" i="2"/>
  <c r="V107" i="2"/>
  <c r="AG119" i="2"/>
  <c r="AF119" i="2"/>
  <c r="AE119" i="2"/>
  <c r="AD119" i="2"/>
  <c r="P119" i="2"/>
  <c r="O119" i="2"/>
  <c r="N119" i="2"/>
  <c r="M119" i="2"/>
  <c r="U123" i="2"/>
  <c r="U122" i="2"/>
  <c r="U121" i="2"/>
  <c r="U79" i="2"/>
  <c r="U78" i="2"/>
  <c r="U77" i="2"/>
  <c r="U112" i="2"/>
  <c r="U111" i="2"/>
  <c r="U110" i="2"/>
  <c r="M50" i="2"/>
  <c r="AC237" i="2"/>
  <c r="L237" i="2"/>
  <c r="AC236" i="2"/>
  <c r="AD53" i="2"/>
  <c r="AD54" i="2"/>
  <c r="AD55" i="2"/>
  <c r="AD56" i="2"/>
  <c r="AD57" i="2"/>
  <c r="AD58" i="2"/>
  <c r="AD59" i="2"/>
  <c r="AD60" i="2"/>
  <c r="AD61" i="2"/>
  <c r="AD62" i="2"/>
  <c r="AD63" i="2"/>
  <c r="AD64" i="2"/>
  <c r="AD65" i="2"/>
  <c r="AD66" i="2"/>
  <c r="AD67" i="2"/>
  <c r="AD68" i="2"/>
  <c r="AD69" i="2"/>
  <c r="AD70" i="2"/>
  <c r="AD71" i="2"/>
  <c r="J126" i="2"/>
  <c r="AA126" i="2"/>
  <c r="AA128" i="2"/>
  <c r="G126" i="2"/>
  <c r="X126" i="2"/>
  <c r="X128" i="2"/>
  <c r="H126" i="2"/>
  <c r="Y126" i="2"/>
  <c r="Y128" i="2"/>
  <c r="F126" i="2"/>
  <c r="W126" i="2"/>
  <c r="W128" i="2"/>
  <c r="I126" i="2"/>
  <c r="Z126" i="2"/>
  <c r="Z128" i="2"/>
  <c r="AE53" i="2"/>
  <c r="AE54" i="2"/>
  <c r="AE55" i="2"/>
  <c r="AE56" i="2"/>
  <c r="AE57" i="2"/>
  <c r="AE58" i="2"/>
  <c r="AE59" i="2"/>
  <c r="AE60" i="2"/>
  <c r="AE61" i="2"/>
  <c r="AE62" i="2"/>
  <c r="AE63" i="2"/>
  <c r="AE64" i="2"/>
  <c r="AE65" i="2"/>
  <c r="AE66" i="2"/>
  <c r="AE67" i="2"/>
  <c r="AE68" i="2"/>
  <c r="AE69" i="2"/>
  <c r="AE70" i="2"/>
  <c r="AE71" i="2"/>
  <c r="AG50" i="2"/>
  <c r="AG221" i="2"/>
  <c r="AF50" i="2"/>
  <c r="AF221" i="2"/>
  <c r="AE50" i="2"/>
  <c r="AE221" i="2"/>
  <c r="AD50" i="2"/>
  <c r="AD221" i="2"/>
  <c r="M238" i="2"/>
  <c r="AD238" i="2"/>
  <c r="L236" i="2"/>
  <c r="J128" i="2"/>
  <c r="G128" i="2"/>
  <c r="H128" i="2"/>
  <c r="F128" i="2"/>
  <c r="I128" i="2"/>
  <c r="N225" i="2"/>
  <c r="N224" i="2"/>
  <c r="N226" i="2"/>
  <c r="M225" i="2"/>
  <c r="M224" i="2"/>
  <c r="M226" i="2"/>
  <c r="P50" i="2"/>
  <c r="P221" i="2"/>
  <c r="O50" i="2"/>
  <c r="O221" i="2"/>
  <c r="N50" i="2"/>
  <c r="N221" i="2"/>
  <c r="M221" i="2"/>
  <c r="C84" i="2"/>
  <c r="B84" i="2"/>
  <c r="AA127" i="2"/>
  <c r="Z127" i="2"/>
  <c r="Y127" i="2"/>
  <c r="X127" i="2"/>
  <c r="W127" i="2"/>
  <c r="U43" i="3"/>
  <c r="T43" i="3"/>
  <c r="H46" i="3"/>
  <c r="H75" i="3"/>
  <c r="G46" i="3"/>
  <c r="H45" i="3"/>
  <c r="G45" i="3"/>
  <c r="T45" i="3"/>
  <c r="H44" i="3"/>
  <c r="G44" i="3"/>
  <c r="T44" i="3"/>
  <c r="H43" i="3"/>
  <c r="G43" i="3"/>
  <c r="Y49" i="2"/>
  <c r="X49" i="2"/>
  <c r="X36" i="2"/>
  <c r="X31" i="2"/>
  <c r="Y23" i="2"/>
  <c r="X23" i="2"/>
  <c r="Y18" i="2"/>
  <c r="X18" i="2"/>
  <c r="Y16" i="2"/>
  <c r="X16" i="2"/>
  <c r="H125" i="2"/>
  <c r="G125" i="2"/>
  <c r="H118" i="2"/>
  <c r="G118" i="2"/>
  <c r="H117" i="2"/>
  <c r="G117" i="2"/>
  <c r="X26" i="2"/>
  <c r="H84" i="2"/>
  <c r="G84" i="2"/>
  <c r="Y21" i="2"/>
  <c r="X20" i="2"/>
  <c r="Y19" i="2"/>
  <c r="X19" i="2"/>
  <c r="V43" i="3"/>
  <c r="I46" i="3"/>
  <c r="I75" i="3"/>
  <c r="I45" i="3"/>
  <c r="I44" i="3"/>
  <c r="I43" i="3"/>
  <c r="Z49" i="2"/>
  <c r="Z31" i="2"/>
  <c r="Z23" i="2"/>
  <c r="Z18" i="2"/>
  <c r="Z16" i="2"/>
  <c r="I125" i="2"/>
  <c r="I118" i="2"/>
  <c r="I117" i="2"/>
  <c r="Z26" i="2"/>
  <c r="Z24" i="2"/>
  <c r="I84" i="2"/>
  <c r="Z20" i="2"/>
  <c r="Z19" i="2"/>
  <c r="Z36" i="2"/>
  <c r="X118" i="2"/>
  <c r="X121" i="2"/>
  <c r="X84" i="2"/>
  <c r="X125" i="2"/>
  <c r="X21" i="2"/>
  <c r="V45" i="3"/>
  <c r="Z25" i="2"/>
  <c r="Y20" i="2"/>
  <c r="Y79" i="2"/>
  <c r="G75" i="3"/>
  <c r="T46" i="3"/>
  <c r="T5" i="3"/>
  <c r="U5" i="3"/>
  <c r="U44" i="3"/>
  <c r="U46" i="3"/>
  <c r="U45" i="3"/>
  <c r="Y78" i="2"/>
  <c r="Y26" i="2"/>
  <c r="Y36" i="2"/>
  <c r="Y31" i="2"/>
  <c r="Y25" i="2"/>
  <c r="X77" i="2"/>
  <c r="X32" i="2"/>
  <c r="X24" i="2"/>
  <c r="Y125" i="2"/>
  <c r="Y84" i="2"/>
  <c r="Y118" i="2"/>
  <c r="Y121" i="2"/>
  <c r="Y117" i="2"/>
  <c r="X25" i="2"/>
  <c r="X117" i="2"/>
  <c r="Z21" i="2"/>
  <c r="Y24" i="2"/>
  <c r="Y77" i="2"/>
  <c r="Y32" i="2"/>
  <c r="Z123" i="2"/>
  <c r="V46" i="3"/>
  <c r="V5" i="3"/>
  <c r="V44" i="3"/>
  <c r="Z117" i="2"/>
  <c r="Z125" i="2"/>
  <c r="Z84" i="2"/>
  <c r="Z118" i="2"/>
  <c r="Z121" i="2"/>
  <c r="Z77" i="2"/>
  <c r="Z32" i="2"/>
  <c r="S3" i="3"/>
  <c r="V12" i="3"/>
  <c r="T33" i="3"/>
  <c r="T75" i="3"/>
  <c r="T31" i="3"/>
  <c r="T19" i="3"/>
  <c r="U19" i="3"/>
  <c r="U75" i="3"/>
  <c r="U31" i="3"/>
  <c r="T7" i="3"/>
  <c r="T38" i="3"/>
  <c r="U7" i="3"/>
  <c r="T26" i="3"/>
  <c r="U12" i="3"/>
  <c r="U38" i="3"/>
  <c r="U33" i="3"/>
  <c r="U26" i="3"/>
  <c r="U21" i="3"/>
  <c r="T12" i="3"/>
  <c r="T21" i="3"/>
  <c r="Z122" i="2"/>
  <c r="Y33" i="2"/>
  <c r="Y34" i="2"/>
  <c r="X110" i="2"/>
  <c r="X37" i="2"/>
  <c r="Y110" i="2"/>
  <c r="Y37" i="2"/>
  <c r="Y122" i="2"/>
  <c r="Y123" i="2"/>
  <c r="X79" i="2"/>
  <c r="X34" i="2"/>
  <c r="X78" i="2"/>
  <c r="X111" i="2"/>
  <c r="X112" i="2"/>
  <c r="X123" i="2"/>
  <c r="X122" i="2"/>
  <c r="Y112" i="2"/>
  <c r="Y111" i="2"/>
  <c r="V38" i="3"/>
  <c r="V33" i="3"/>
  <c r="V26" i="3"/>
  <c r="V21" i="3"/>
  <c r="V19" i="3"/>
  <c r="V75" i="3"/>
  <c r="V31" i="3"/>
  <c r="V7" i="3"/>
  <c r="Z78" i="2"/>
  <c r="Z79" i="2"/>
  <c r="Z33" i="2"/>
  <c r="Z112" i="2"/>
  <c r="Z111" i="2"/>
  <c r="Z110" i="2"/>
  <c r="Z37" i="2"/>
  <c r="X33" i="2"/>
  <c r="Y38" i="2"/>
  <c r="Y39" i="2"/>
  <c r="X39" i="2"/>
  <c r="X38" i="2"/>
  <c r="Z34" i="2"/>
  <c r="Z38" i="2"/>
  <c r="Z39" i="2"/>
  <c r="B76" i="3"/>
  <c r="C76" i="3"/>
  <c r="C77" i="3"/>
  <c r="C78" i="3"/>
  <c r="C79" i="3"/>
  <c r="C80" i="3"/>
  <c r="C81" i="3"/>
  <c r="C82" i="3"/>
  <c r="C83" i="3"/>
  <c r="C84" i="3"/>
  <c r="C85" i="3"/>
  <c r="C86" i="3"/>
  <c r="C87" i="3"/>
  <c r="C88" i="3"/>
  <c r="C89" i="3"/>
  <c r="C90" i="3"/>
  <c r="C91" i="3"/>
  <c r="C92" i="3"/>
  <c r="C93" i="3"/>
  <c r="C94" i="3"/>
  <c r="C95" i="3"/>
  <c r="B46" i="3"/>
  <c r="C46" i="3"/>
  <c r="B47" i="3"/>
  <c r="C47" i="3"/>
  <c r="C48" i="3"/>
  <c r="C49" i="3"/>
  <c r="C50" i="3"/>
  <c r="C51" i="3"/>
  <c r="C52" i="3"/>
  <c r="C53" i="3"/>
  <c r="C54" i="3"/>
  <c r="C55" i="3"/>
  <c r="C56" i="3"/>
  <c r="C57" i="3"/>
  <c r="C58" i="3"/>
  <c r="C59" i="3"/>
  <c r="C60" i="3"/>
  <c r="C61" i="3"/>
  <c r="C62" i="3"/>
  <c r="C63" i="3"/>
  <c r="C64" i="3"/>
  <c r="C65" i="3"/>
  <c r="C66" i="3"/>
  <c r="D46" i="3"/>
  <c r="E46" i="3"/>
  <c r="F46" i="3"/>
  <c r="J46" i="3"/>
  <c r="W43" i="3"/>
  <c r="S43" i="3"/>
  <c r="K52" i="2"/>
  <c r="J45" i="3"/>
  <c r="F45" i="3"/>
  <c r="J44" i="3"/>
  <c r="W7" i="3"/>
  <c r="F44" i="3"/>
  <c r="S12" i="3"/>
  <c r="J43" i="3"/>
  <c r="F43" i="3"/>
  <c r="P95" i="3"/>
  <c r="P94" i="3"/>
  <c r="P93" i="3"/>
  <c r="P92" i="3"/>
  <c r="P91" i="3"/>
  <c r="P90" i="3"/>
  <c r="P89" i="3"/>
  <c r="P88" i="3"/>
  <c r="P87" i="3"/>
  <c r="P86" i="3"/>
  <c r="P85" i="3"/>
  <c r="P84" i="3"/>
  <c r="P83" i="3"/>
  <c r="P82" i="3"/>
  <c r="P81" i="3"/>
  <c r="P80" i="3"/>
  <c r="P79" i="3"/>
  <c r="P78" i="3"/>
  <c r="P77" i="3"/>
  <c r="P76" i="3"/>
  <c r="O76" i="3"/>
  <c r="J75" i="3"/>
  <c r="F75" i="3"/>
  <c r="E75" i="3"/>
  <c r="D75" i="3"/>
  <c r="P66" i="3"/>
  <c r="P65" i="3"/>
  <c r="P64" i="3"/>
  <c r="P63" i="3"/>
  <c r="P62" i="3"/>
  <c r="P61" i="3"/>
  <c r="P60" i="3"/>
  <c r="P59" i="3"/>
  <c r="P58" i="3"/>
  <c r="P57" i="3"/>
  <c r="P56" i="3"/>
  <c r="P55" i="3"/>
  <c r="P54" i="3"/>
  <c r="P53" i="3"/>
  <c r="P52" i="3"/>
  <c r="P51" i="3"/>
  <c r="P50" i="3"/>
  <c r="P49" i="3"/>
  <c r="P48" i="3"/>
  <c r="P47" i="3"/>
  <c r="O47" i="3"/>
  <c r="W46" i="3"/>
  <c r="W31" i="3"/>
  <c r="S46" i="3"/>
  <c r="S19" i="3"/>
  <c r="R46" i="3"/>
  <c r="Q46" i="3"/>
  <c r="Q75" i="3"/>
  <c r="P46" i="3"/>
  <c r="P75" i="3"/>
  <c r="O46" i="3"/>
  <c r="O75" i="3"/>
  <c r="R11" i="3"/>
  <c r="R6" i="3"/>
  <c r="W5" i="3"/>
  <c r="S5" i="3"/>
  <c r="H64" i="3"/>
  <c r="H89" i="3"/>
  <c r="H93" i="3"/>
  <c r="H83" i="3"/>
  <c r="H87" i="3"/>
  <c r="H49" i="3"/>
  <c r="H57" i="3"/>
  <c r="H65" i="3"/>
  <c r="H82" i="3"/>
  <c r="H90" i="3"/>
  <c r="H50" i="3"/>
  <c r="H91" i="3"/>
  <c r="H51" i="3"/>
  <c r="H84" i="3"/>
  <c r="H56" i="3"/>
  <c r="H52" i="3"/>
  <c r="H85" i="3"/>
  <c r="H58" i="3"/>
  <c r="H62" i="3"/>
  <c r="H53" i="3"/>
  <c r="H61" i="3"/>
  <c r="H78" i="3"/>
  <c r="H86" i="3"/>
  <c r="H60" i="3"/>
  <c r="H54" i="3"/>
  <c r="H59" i="3"/>
  <c r="H92" i="3"/>
  <c r="H81" i="3"/>
  <c r="H48" i="3"/>
  <c r="H77" i="3"/>
  <c r="H66" i="3"/>
  <c r="H79" i="3"/>
  <c r="H47" i="3"/>
  <c r="H55" i="3"/>
  <c r="H63" i="3"/>
  <c r="H80" i="3"/>
  <c r="H88" i="3"/>
  <c r="H94" i="3"/>
  <c r="H95" i="3"/>
  <c r="H76" i="3"/>
  <c r="G95" i="3"/>
  <c r="G93" i="3"/>
  <c r="G91" i="3"/>
  <c r="G89" i="3"/>
  <c r="G87" i="3"/>
  <c r="G85" i="3"/>
  <c r="G83" i="3"/>
  <c r="G81" i="3"/>
  <c r="G79" i="3"/>
  <c r="G77" i="3"/>
  <c r="G66" i="3"/>
  <c r="G64" i="3"/>
  <c r="G62" i="3"/>
  <c r="G60" i="3"/>
  <c r="G58" i="3"/>
  <c r="G56" i="3"/>
  <c r="G54" i="3"/>
  <c r="G52" i="3"/>
  <c r="G50" i="3"/>
  <c r="G48" i="3"/>
  <c r="G94" i="3"/>
  <c r="G53" i="3"/>
  <c r="G61" i="3"/>
  <c r="G78" i="3"/>
  <c r="G86" i="3"/>
  <c r="G47" i="3"/>
  <c r="G55" i="3"/>
  <c r="G63" i="3"/>
  <c r="G80" i="3"/>
  <c r="G88" i="3"/>
  <c r="G49" i="3"/>
  <c r="G57" i="3"/>
  <c r="G65" i="3"/>
  <c r="G82" i="3"/>
  <c r="G90" i="3"/>
  <c r="G51" i="3"/>
  <c r="G59" i="3"/>
  <c r="G76" i="3"/>
  <c r="G84" i="3"/>
  <c r="G92" i="3"/>
  <c r="I89" i="3"/>
  <c r="I85" i="3"/>
  <c r="I77" i="3"/>
  <c r="I60" i="3"/>
  <c r="I52" i="3"/>
  <c r="I93" i="3"/>
  <c r="I81" i="3"/>
  <c r="I64" i="3"/>
  <c r="I56" i="3"/>
  <c r="I48" i="3"/>
  <c r="I92" i="3"/>
  <c r="I61" i="3"/>
  <c r="I54" i="3"/>
  <c r="I79" i="3"/>
  <c r="I95" i="3"/>
  <c r="I94" i="3"/>
  <c r="I84" i="3"/>
  <c r="I87" i="3"/>
  <c r="I76" i="3"/>
  <c r="I49" i="3"/>
  <c r="I65" i="3"/>
  <c r="I58" i="3"/>
  <c r="I83" i="3"/>
  <c r="I82" i="3"/>
  <c r="I47" i="3"/>
  <c r="I63" i="3"/>
  <c r="I88" i="3"/>
  <c r="I53" i="3"/>
  <c r="I78" i="3"/>
  <c r="I86" i="3"/>
  <c r="I57" i="3"/>
  <c r="I50" i="3"/>
  <c r="I66" i="3"/>
  <c r="I91" i="3"/>
  <c r="I90" i="3"/>
  <c r="I55" i="3"/>
  <c r="I80" i="3"/>
  <c r="I59" i="3"/>
  <c r="I62" i="3"/>
  <c r="I51" i="3"/>
  <c r="R25" i="3"/>
  <c r="R37" i="3"/>
  <c r="R20" i="3"/>
  <c r="R32" i="3"/>
  <c r="F95" i="3"/>
  <c r="F93" i="3"/>
  <c r="F91" i="3"/>
  <c r="F89" i="3"/>
  <c r="F87" i="3"/>
  <c r="F85" i="3"/>
  <c r="F83" i="3"/>
  <c r="F81" i="3"/>
  <c r="F79" i="3"/>
  <c r="F77" i="3"/>
  <c r="F66" i="3"/>
  <c r="F64" i="3"/>
  <c r="F62" i="3"/>
  <c r="F60" i="3"/>
  <c r="F58" i="3"/>
  <c r="F56" i="3"/>
  <c r="F54" i="3"/>
  <c r="F52" i="3"/>
  <c r="F50" i="3"/>
  <c r="F48" i="3"/>
  <c r="F94" i="3"/>
  <c r="F92" i="3"/>
  <c r="F90" i="3"/>
  <c r="F88" i="3"/>
  <c r="F86" i="3"/>
  <c r="F84" i="3"/>
  <c r="F82" i="3"/>
  <c r="F80" i="3"/>
  <c r="F78" i="3"/>
  <c r="F76" i="3"/>
  <c r="F65" i="3"/>
  <c r="F63" i="3"/>
  <c r="F61" i="3"/>
  <c r="F59" i="3"/>
  <c r="F57" i="3"/>
  <c r="F55" i="3"/>
  <c r="F53" i="3"/>
  <c r="F51" i="3"/>
  <c r="F49" i="3"/>
  <c r="F47" i="3"/>
  <c r="J95" i="3"/>
  <c r="J94" i="3"/>
  <c r="J93" i="3"/>
  <c r="J92" i="3"/>
  <c r="J91" i="3"/>
  <c r="J90" i="3"/>
  <c r="J89" i="3"/>
  <c r="J88" i="3"/>
  <c r="J87" i="3"/>
  <c r="J86" i="3"/>
  <c r="J85" i="3"/>
  <c r="J84" i="3"/>
  <c r="J83" i="3"/>
  <c r="J82" i="3"/>
  <c r="J81" i="3"/>
  <c r="J80" i="3"/>
  <c r="J79" i="3"/>
  <c r="J78" i="3"/>
  <c r="J77" i="3"/>
  <c r="J76" i="3"/>
  <c r="J66" i="3"/>
  <c r="J65" i="3"/>
  <c r="J64" i="3"/>
  <c r="J63" i="3"/>
  <c r="J62" i="3"/>
  <c r="J61" i="3"/>
  <c r="J60" i="3"/>
  <c r="J59" i="3"/>
  <c r="J58" i="3"/>
  <c r="J57" i="3"/>
  <c r="J56" i="3"/>
  <c r="J55" i="3"/>
  <c r="J54" i="3"/>
  <c r="J53" i="3"/>
  <c r="J52" i="3"/>
  <c r="J51" i="3"/>
  <c r="J50" i="3"/>
  <c r="J49" i="3"/>
  <c r="J48" i="3"/>
  <c r="J47" i="3"/>
  <c r="W44" i="3"/>
  <c r="W26" i="3"/>
  <c r="W12" i="3"/>
  <c r="W45" i="3"/>
  <c r="S44" i="3"/>
  <c r="S31" i="3"/>
  <c r="S45" i="3"/>
  <c r="K45" i="3"/>
  <c r="S7" i="3"/>
  <c r="S75" i="3"/>
  <c r="W75" i="3"/>
  <c r="W19" i="3"/>
  <c r="R75" i="3"/>
  <c r="H97" i="3"/>
  <c r="H98" i="3"/>
  <c r="H96" i="3"/>
  <c r="U13" i="3"/>
  <c r="H69" i="3"/>
  <c r="H67" i="3"/>
  <c r="U8" i="3"/>
  <c r="H68" i="3"/>
  <c r="G98" i="3"/>
  <c r="G96" i="3"/>
  <c r="T13" i="3"/>
  <c r="G97" i="3"/>
  <c r="G69" i="3"/>
  <c r="G67" i="3"/>
  <c r="T8" i="3"/>
  <c r="G68" i="3"/>
  <c r="I96" i="3"/>
  <c r="V13" i="3"/>
  <c r="I98" i="3"/>
  <c r="I97" i="3"/>
  <c r="I67" i="3"/>
  <c r="V8" i="3"/>
  <c r="I69" i="3"/>
  <c r="I68" i="3"/>
  <c r="K54" i="3"/>
  <c r="W38" i="3"/>
  <c r="W21" i="3"/>
  <c r="W33" i="3"/>
  <c r="K56" i="3"/>
  <c r="K58" i="3"/>
  <c r="J68" i="3"/>
  <c r="W9" i="3"/>
  <c r="F97" i="3"/>
  <c r="S14" i="3"/>
  <c r="K60" i="3"/>
  <c r="K61" i="3"/>
  <c r="K65" i="3"/>
  <c r="K95" i="3"/>
  <c r="K49" i="3"/>
  <c r="S33" i="3"/>
  <c r="S21" i="3"/>
  <c r="S38" i="3"/>
  <c r="S26" i="3"/>
  <c r="K62" i="3"/>
  <c r="F98" i="3"/>
  <c r="K93" i="3"/>
  <c r="K85" i="3"/>
  <c r="K81" i="3"/>
  <c r="K55" i="3"/>
  <c r="K52" i="3"/>
  <c r="K66" i="3"/>
  <c r="K63" i="3"/>
  <c r="F67" i="3"/>
  <c r="S8" i="3"/>
  <c r="K57" i="3"/>
  <c r="K88" i="3"/>
  <c r="K84" i="3"/>
  <c r="K53" i="3"/>
  <c r="K89" i="3"/>
  <c r="K77" i="3"/>
  <c r="J67" i="3"/>
  <c r="W8" i="3"/>
  <c r="K50" i="3"/>
  <c r="K64" i="3"/>
  <c r="J97" i="3"/>
  <c r="W15" i="3"/>
  <c r="J69" i="3"/>
  <c r="F96" i="3"/>
  <c r="S13" i="3"/>
  <c r="K92" i="3"/>
  <c r="J96" i="3"/>
  <c r="W13" i="3"/>
  <c r="K51" i="3"/>
  <c r="K94" i="3"/>
  <c r="K90" i="3"/>
  <c r="K86" i="3"/>
  <c r="K82" i="3"/>
  <c r="K78" i="3"/>
  <c r="J98" i="3"/>
  <c r="K59" i="3"/>
  <c r="K80" i="3"/>
  <c r="K76" i="3"/>
  <c r="K48" i="3"/>
  <c r="K91" i="3"/>
  <c r="K87" i="3"/>
  <c r="K83" i="3"/>
  <c r="K79" i="3"/>
  <c r="X45" i="3"/>
  <c r="K47" i="3"/>
  <c r="F68" i="3"/>
  <c r="S10" i="3"/>
  <c r="F69" i="3"/>
  <c r="U10" i="3"/>
  <c r="U9" i="3"/>
  <c r="U14" i="3"/>
  <c r="U15" i="3"/>
  <c r="T9" i="3"/>
  <c r="T10" i="3"/>
  <c r="T14" i="3"/>
  <c r="T15" i="3"/>
  <c r="V10" i="3"/>
  <c r="V9" i="3"/>
  <c r="V15" i="3"/>
  <c r="V14" i="3"/>
  <c r="S15" i="3"/>
  <c r="W10" i="3"/>
  <c r="W14" i="3"/>
  <c r="S9" i="3"/>
  <c r="AA125" i="2"/>
  <c r="V117" i="2"/>
  <c r="E117" i="2"/>
  <c r="F117" i="2"/>
  <c r="J117" i="2"/>
  <c r="D117" i="2"/>
  <c r="AH131" i="2"/>
  <c r="AH130" i="2"/>
  <c r="K86" i="2"/>
  <c r="K87" i="2"/>
  <c r="K88" i="2"/>
  <c r="K89" i="2"/>
  <c r="K90" i="2"/>
  <c r="K91" i="2"/>
  <c r="K92" i="2"/>
  <c r="K93" i="2"/>
  <c r="K94" i="2"/>
  <c r="K95" i="2"/>
  <c r="K96" i="2"/>
  <c r="K97" i="2"/>
  <c r="K98" i="2"/>
  <c r="K99" i="2"/>
  <c r="K100" i="2"/>
  <c r="K101" i="2"/>
  <c r="K102" i="2"/>
  <c r="K103" i="2"/>
  <c r="K85" i="2"/>
  <c r="K53" i="2"/>
  <c r="K54" i="2"/>
  <c r="K55" i="2"/>
  <c r="K56" i="2"/>
  <c r="K57" i="2"/>
  <c r="K58" i="2"/>
  <c r="K59" i="2"/>
  <c r="K60" i="2"/>
  <c r="K61" i="2"/>
  <c r="K62" i="2"/>
  <c r="K63" i="2"/>
  <c r="K64" i="2"/>
  <c r="K65" i="2"/>
  <c r="K66" i="2"/>
  <c r="K67" i="2"/>
  <c r="K68" i="2"/>
  <c r="K69" i="2"/>
  <c r="K70" i="2"/>
  <c r="K71" i="2"/>
  <c r="S64" i="3"/>
  <c r="U64" i="3"/>
  <c r="T64" i="3"/>
  <c r="S61" i="3"/>
  <c r="T61" i="3"/>
  <c r="U61" i="3"/>
  <c r="S58" i="3"/>
  <c r="U58" i="3"/>
  <c r="T58" i="3"/>
  <c r="S55" i="3"/>
  <c r="U55" i="3"/>
  <c r="T55" i="3"/>
  <c r="S53" i="3"/>
  <c r="U53" i="3"/>
  <c r="T53" i="3"/>
  <c r="S82" i="3"/>
  <c r="U82" i="3"/>
  <c r="T82" i="3"/>
  <c r="S84" i="3"/>
  <c r="T84" i="3"/>
  <c r="U84" i="3"/>
  <c r="S86" i="3"/>
  <c r="U86" i="3"/>
  <c r="T86" i="3"/>
  <c r="S88" i="3"/>
  <c r="T88" i="3"/>
  <c r="U88" i="3"/>
  <c r="S90" i="3"/>
  <c r="U90" i="3"/>
  <c r="T90" i="3"/>
  <c r="S92" i="3"/>
  <c r="U92" i="3"/>
  <c r="T92" i="3"/>
  <c r="T52" i="3"/>
  <c r="U52" i="3"/>
  <c r="V51" i="3"/>
  <c r="W51" i="3"/>
  <c r="V50" i="3"/>
  <c r="W50" i="3"/>
  <c r="U49" i="3"/>
  <c r="T49" i="3"/>
  <c r="V82" i="3"/>
  <c r="W82" i="3"/>
  <c r="V83" i="3"/>
  <c r="W83" i="3"/>
  <c r="V84" i="3"/>
  <c r="W84" i="3"/>
  <c r="V85" i="3"/>
  <c r="W85" i="3"/>
  <c r="V86" i="3"/>
  <c r="W86" i="3"/>
  <c r="V87" i="3"/>
  <c r="W87" i="3"/>
  <c r="V88" i="3"/>
  <c r="W88" i="3"/>
  <c r="V89" i="3"/>
  <c r="W89" i="3"/>
  <c r="V90" i="3"/>
  <c r="W90" i="3"/>
  <c r="V91" i="3"/>
  <c r="W91" i="3"/>
  <c r="V92" i="3"/>
  <c r="W92" i="3"/>
  <c r="V93" i="3"/>
  <c r="W93" i="3"/>
  <c r="V94" i="3"/>
  <c r="W94" i="3"/>
  <c r="V95" i="3"/>
  <c r="W95" i="3"/>
  <c r="V52" i="3"/>
  <c r="W52" i="3"/>
  <c r="S63" i="3"/>
  <c r="U63" i="3"/>
  <c r="T63" i="3"/>
  <c r="S60" i="3"/>
  <c r="T60" i="3"/>
  <c r="U60" i="3"/>
  <c r="S57" i="3"/>
  <c r="T57" i="3"/>
  <c r="U57" i="3"/>
  <c r="S54" i="3"/>
  <c r="U54" i="3"/>
  <c r="T54" i="3"/>
  <c r="W76" i="3"/>
  <c r="U76" i="3"/>
  <c r="V76" i="3"/>
  <c r="T76" i="3"/>
  <c r="S83" i="3"/>
  <c r="T83" i="3"/>
  <c r="U83" i="3"/>
  <c r="S85" i="3"/>
  <c r="U85" i="3"/>
  <c r="T85" i="3"/>
  <c r="S87" i="3"/>
  <c r="U87" i="3"/>
  <c r="T87" i="3"/>
  <c r="S89" i="3"/>
  <c r="T89" i="3"/>
  <c r="U89" i="3"/>
  <c r="S91" i="3"/>
  <c r="U91" i="3"/>
  <c r="T91" i="3"/>
  <c r="S93" i="3"/>
  <c r="U93" i="3"/>
  <c r="T93" i="3"/>
  <c r="S94" i="3"/>
  <c r="U94" i="3"/>
  <c r="T94" i="3"/>
  <c r="U95" i="3"/>
  <c r="T95" i="3"/>
  <c r="U51" i="3"/>
  <c r="T51" i="3"/>
  <c r="U50" i="3"/>
  <c r="T50" i="3"/>
  <c r="U77" i="3"/>
  <c r="T77" i="3"/>
  <c r="U78" i="3"/>
  <c r="T78" i="3"/>
  <c r="T79" i="3"/>
  <c r="U79" i="3"/>
  <c r="T80" i="3"/>
  <c r="U80" i="3"/>
  <c r="S81" i="3"/>
  <c r="U81" i="3"/>
  <c r="T81" i="3"/>
  <c r="S66" i="3"/>
  <c r="T66" i="3"/>
  <c r="U66" i="3"/>
  <c r="S65" i="3"/>
  <c r="U65" i="3"/>
  <c r="T65" i="3"/>
  <c r="S62" i="3"/>
  <c r="U62" i="3"/>
  <c r="T62" i="3"/>
  <c r="S59" i="3"/>
  <c r="U59" i="3"/>
  <c r="T59" i="3"/>
  <c r="S56" i="3"/>
  <c r="T56" i="3"/>
  <c r="U56" i="3"/>
  <c r="V49" i="3"/>
  <c r="W49" i="3"/>
  <c r="T47" i="3"/>
  <c r="U47" i="3"/>
  <c r="V66" i="3"/>
  <c r="W66" i="3"/>
  <c r="V65" i="3"/>
  <c r="W65" i="3"/>
  <c r="V64" i="3"/>
  <c r="W64" i="3"/>
  <c r="V63" i="3"/>
  <c r="W63" i="3"/>
  <c r="V62" i="3"/>
  <c r="W62" i="3"/>
  <c r="V61" i="3"/>
  <c r="W61" i="3"/>
  <c r="V60" i="3"/>
  <c r="W60" i="3"/>
  <c r="V59" i="3"/>
  <c r="W59" i="3"/>
  <c r="V58" i="3"/>
  <c r="W58" i="3"/>
  <c r="V57" i="3"/>
  <c r="W57" i="3"/>
  <c r="V56" i="3"/>
  <c r="W56" i="3"/>
  <c r="V55" i="3"/>
  <c r="W55" i="3"/>
  <c r="V54" i="3"/>
  <c r="W54" i="3"/>
  <c r="V53" i="3"/>
  <c r="W53" i="3"/>
  <c r="T48" i="3"/>
  <c r="V48" i="3"/>
  <c r="U48" i="3"/>
  <c r="W48" i="3"/>
  <c r="V77" i="3"/>
  <c r="W77" i="3"/>
  <c r="V78" i="3"/>
  <c r="W78" i="3"/>
  <c r="V79" i="3"/>
  <c r="W79" i="3"/>
  <c r="V80" i="3"/>
  <c r="W80" i="3"/>
  <c r="V81" i="3"/>
  <c r="W81" i="3"/>
  <c r="W47" i="3"/>
  <c r="V47" i="3"/>
  <c r="S52" i="3"/>
  <c r="S76" i="3"/>
  <c r="S95" i="3"/>
  <c r="S49" i="3"/>
  <c r="S47" i="3"/>
  <c r="S51" i="3"/>
  <c r="S50" i="3"/>
  <c r="S77" i="3"/>
  <c r="S78" i="3"/>
  <c r="S79" i="3"/>
  <c r="S80" i="3"/>
  <c r="S48" i="3"/>
  <c r="AB68" i="2"/>
  <c r="AB64" i="2"/>
  <c r="AB60" i="2"/>
  <c r="AB55" i="2"/>
  <c r="AB88" i="2"/>
  <c r="AB89" i="2"/>
  <c r="AB91" i="2"/>
  <c r="AB94" i="2"/>
  <c r="AB95" i="2"/>
  <c r="AB98" i="2"/>
  <c r="AB99" i="2"/>
  <c r="AB102" i="2"/>
  <c r="AB103" i="2"/>
  <c r="AB71" i="2"/>
  <c r="AB70" i="2"/>
  <c r="AB69" i="2"/>
  <c r="AB67" i="2"/>
  <c r="AB66" i="2"/>
  <c r="AB65" i="2"/>
  <c r="AB63" i="2"/>
  <c r="AB62" i="2"/>
  <c r="AB61" i="2"/>
  <c r="AB59" i="2"/>
  <c r="AB58" i="2"/>
  <c r="AB56" i="2"/>
  <c r="AB86" i="2"/>
  <c r="AB87" i="2"/>
  <c r="AB92" i="2"/>
  <c r="AB93" i="2"/>
  <c r="AB96" i="2"/>
  <c r="AB97" i="2"/>
  <c r="AB100" i="2"/>
  <c r="AB101" i="2"/>
  <c r="AB90" i="2"/>
  <c r="W97" i="3"/>
  <c r="W100" i="3"/>
  <c r="W68" i="3"/>
  <c r="W71" i="3"/>
  <c r="V98" i="3"/>
  <c r="V96" i="3"/>
  <c r="V99" i="3"/>
  <c r="V39" i="3"/>
  <c r="W98" i="3"/>
  <c r="W96" i="3"/>
  <c r="W101" i="3"/>
  <c r="W27" i="3"/>
  <c r="T98" i="3"/>
  <c r="T96" i="3"/>
  <c r="T97" i="3"/>
  <c r="V97" i="3"/>
  <c r="V100" i="3"/>
  <c r="T67" i="3"/>
  <c r="T68" i="3"/>
  <c r="T69" i="3"/>
  <c r="U69" i="3"/>
  <c r="U67" i="3"/>
  <c r="U68" i="3"/>
  <c r="U97" i="3"/>
  <c r="U98" i="3"/>
  <c r="U96" i="3"/>
  <c r="W69" i="3"/>
  <c r="W67" i="3"/>
  <c r="W70" i="3"/>
  <c r="W34" i="3"/>
  <c r="V69" i="3"/>
  <c r="V67" i="3"/>
  <c r="V68" i="3"/>
  <c r="W102" i="3"/>
  <c r="X53" i="3"/>
  <c r="X77" i="3"/>
  <c r="X93" i="3"/>
  <c r="X91" i="3"/>
  <c r="X89" i="3"/>
  <c r="X83" i="3"/>
  <c r="X57" i="3"/>
  <c r="X60" i="3"/>
  <c r="X64" i="3"/>
  <c r="X55" i="3"/>
  <c r="X86" i="3"/>
  <c r="X61" i="3"/>
  <c r="X52" i="3"/>
  <c r="X94" i="3"/>
  <c r="X92" i="3"/>
  <c r="X90" i="3"/>
  <c r="X87" i="3"/>
  <c r="X85" i="3"/>
  <c r="X59" i="3"/>
  <c r="X63" i="3"/>
  <c r="X88" i="3"/>
  <c r="X82" i="3"/>
  <c r="X54" i="3"/>
  <c r="X58" i="3"/>
  <c r="X62" i="3"/>
  <c r="X66" i="3"/>
  <c r="X65" i="3"/>
  <c r="X84" i="3"/>
  <c r="X56" i="3"/>
  <c r="X81" i="3"/>
  <c r="X79" i="3"/>
  <c r="X50" i="3"/>
  <c r="X80" i="3"/>
  <c r="X78" i="3"/>
  <c r="X51" i="3"/>
  <c r="X49" i="3"/>
  <c r="X47" i="3"/>
  <c r="X95" i="3"/>
  <c r="X76" i="3"/>
  <c r="S98" i="3"/>
  <c r="S96" i="3"/>
  <c r="S97" i="3"/>
  <c r="X48" i="3"/>
  <c r="S69" i="3"/>
  <c r="S68" i="3"/>
  <c r="S67" i="3"/>
  <c r="Q130" i="2"/>
  <c r="M170" i="2"/>
  <c r="B87" i="2"/>
  <c r="B88" i="2"/>
  <c r="B89" i="2"/>
  <c r="B90" i="2"/>
  <c r="B91" i="2"/>
  <c r="B92" i="2"/>
  <c r="B93" i="2"/>
  <c r="B94" i="2"/>
  <c r="B95" i="2"/>
  <c r="B96" i="2"/>
  <c r="B97" i="2"/>
  <c r="B98" i="2"/>
  <c r="B99" i="2"/>
  <c r="B100" i="2"/>
  <c r="B101" i="2"/>
  <c r="B102" i="2"/>
  <c r="B103" i="2"/>
  <c r="B86" i="2"/>
  <c r="B54" i="2"/>
  <c r="B55" i="2"/>
  <c r="B56" i="2"/>
  <c r="B57" i="2"/>
  <c r="B58" i="2"/>
  <c r="B59" i="2"/>
  <c r="B60" i="2"/>
  <c r="B61" i="2"/>
  <c r="B62" i="2"/>
  <c r="B63" i="2"/>
  <c r="B64" i="2"/>
  <c r="B65" i="2"/>
  <c r="B66" i="2"/>
  <c r="B67" i="2"/>
  <c r="B68" i="2"/>
  <c r="B69" i="2"/>
  <c r="B70" i="2"/>
  <c r="B71" i="2"/>
  <c r="B53" i="2"/>
  <c r="W23" i="2"/>
  <c r="V84" i="2"/>
  <c r="AH166" i="2"/>
  <c r="AH165" i="2"/>
  <c r="AH155" i="2"/>
  <c r="AH154" i="2"/>
  <c r="Q131" i="2"/>
  <c r="Q110" i="2"/>
  <c r="AH110" i="2"/>
  <c r="AH109" i="2"/>
  <c r="AE43" i="2"/>
  <c r="AG43" i="2"/>
  <c r="AD43" i="2"/>
  <c r="J125" i="2"/>
  <c r="F125" i="2"/>
  <c r="AA49" i="2"/>
  <c r="AA36" i="2"/>
  <c r="W49" i="2"/>
  <c r="W31" i="2"/>
  <c r="AA23" i="2"/>
  <c r="W18" i="2"/>
  <c r="AA18" i="2"/>
  <c r="Q109" i="2"/>
  <c r="Q155" i="2"/>
  <c r="Q154" i="2"/>
  <c r="Q166" i="2"/>
  <c r="Q165" i="2"/>
  <c r="K240" i="2"/>
  <c r="AB240" i="2"/>
  <c r="AD168" i="2"/>
  <c r="D84" i="2"/>
  <c r="E84" i="2"/>
  <c r="F84" i="2"/>
  <c r="U117" i="2"/>
  <c r="T51" i="2"/>
  <c r="T84" i="2"/>
  <c r="S51" i="2"/>
  <c r="S84" i="2"/>
  <c r="AE144" i="2"/>
  <c r="N43" i="2"/>
  <c r="P43" i="2"/>
  <c r="M43" i="2"/>
  <c r="O43" i="2"/>
  <c r="M46" i="2"/>
  <c r="M122" i="2"/>
  <c r="M123" i="2"/>
  <c r="AC183" i="2"/>
  <c r="AC178" i="2"/>
  <c r="AA21" i="2"/>
  <c r="AA25" i="2"/>
  <c r="W21" i="2"/>
  <c r="W25" i="2"/>
  <c r="AA19" i="2"/>
  <c r="AA24" i="2"/>
  <c r="W24" i="2"/>
  <c r="AC179" i="2"/>
  <c r="AC157" i="2"/>
  <c r="AC153" i="2"/>
  <c r="AC209" i="2"/>
  <c r="AC205" i="2"/>
  <c r="L209" i="2"/>
  <c r="L205" i="2"/>
  <c r="L157" i="2"/>
  <c r="L153" i="2"/>
  <c r="L204" i="2"/>
  <c r="L203" i="2"/>
  <c r="AC204" i="2"/>
  <c r="AC203" i="2"/>
  <c r="AC152" i="2"/>
  <c r="AC151" i="2"/>
  <c r="AC177" i="2"/>
  <c r="L152" i="2"/>
  <c r="L151" i="2"/>
  <c r="W16" i="2"/>
  <c r="AA16" i="2"/>
  <c r="V17" i="2"/>
  <c r="V22" i="2"/>
  <c r="S52" i="2"/>
  <c r="V30" i="2"/>
  <c r="S85" i="2"/>
  <c r="V35" i="2"/>
  <c r="T52" i="2"/>
  <c r="T53" i="2"/>
  <c r="T54" i="2"/>
  <c r="T55" i="2"/>
  <c r="T56" i="2"/>
  <c r="T57" i="2"/>
  <c r="T58" i="2"/>
  <c r="T59" i="2"/>
  <c r="T60" i="2"/>
  <c r="T61" i="2"/>
  <c r="T62" i="2"/>
  <c r="T63" i="2"/>
  <c r="T64" i="2"/>
  <c r="T65" i="2"/>
  <c r="T66" i="2"/>
  <c r="T67" i="2"/>
  <c r="T68" i="2"/>
  <c r="T69" i="2"/>
  <c r="T70" i="2"/>
  <c r="T71" i="2"/>
  <c r="J84" i="2"/>
  <c r="T85" i="2"/>
  <c r="T86" i="2"/>
  <c r="T87" i="2"/>
  <c r="T88" i="2"/>
  <c r="T89" i="2"/>
  <c r="T90" i="2"/>
  <c r="T91" i="2"/>
  <c r="T92" i="2"/>
  <c r="T93" i="2"/>
  <c r="T94" i="2"/>
  <c r="T95" i="2"/>
  <c r="T96" i="2"/>
  <c r="T97" i="2"/>
  <c r="T98" i="2"/>
  <c r="T99" i="2"/>
  <c r="T100" i="2"/>
  <c r="T101" i="2"/>
  <c r="T102" i="2"/>
  <c r="T103" i="2"/>
  <c r="F118" i="2"/>
  <c r="J118" i="2"/>
  <c r="W73" i="3"/>
  <c r="W72" i="3"/>
  <c r="W22" i="3"/>
  <c r="V101" i="3"/>
  <c r="V27" i="3"/>
  <c r="W36" i="3"/>
  <c r="V41" i="3"/>
  <c r="V102" i="3"/>
  <c r="T100" i="3"/>
  <c r="T102" i="3"/>
  <c r="W99" i="3"/>
  <c r="W39" i="3"/>
  <c r="W41" i="3"/>
  <c r="U71" i="3"/>
  <c r="U73" i="3"/>
  <c r="T71" i="3"/>
  <c r="T73" i="3"/>
  <c r="T99" i="3"/>
  <c r="T39" i="3"/>
  <c r="T41" i="3"/>
  <c r="T101" i="3"/>
  <c r="T27" i="3"/>
  <c r="U99" i="3"/>
  <c r="U39" i="3"/>
  <c r="U41" i="3"/>
  <c r="U101" i="3"/>
  <c r="U27" i="3"/>
  <c r="U72" i="3"/>
  <c r="U22" i="3"/>
  <c r="U70" i="3"/>
  <c r="U34" i="3"/>
  <c r="U36" i="3"/>
  <c r="T70" i="3"/>
  <c r="T34" i="3"/>
  <c r="T36" i="3"/>
  <c r="T72" i="3"/>
  <c r="T22" i="3"/>
  <c r="U102" i="3"/>
  <c r="U100" i="3"/>
  <c r="V40" i="3"/>
  <c r="V70" i="3"/>
  <c r="V34" i="3"/>
  <c r="V36" i="3"/>
  <c r="V72" i="3"/>
  <c r="V22" i="3"/>
  <c r="V73" i="3"/>
  <c r="V71" i="3"/>
  <c r="W28" i="3"/>
  <c r="W29" i="3"/>
  <c r="W35" i="3"/>
  <c r="B66" i="3"/>
  <c r="O66" i="3"/>
  <c r="B58" i="3"/>
  <c r="O58" i="3"/>
  <c r="B94" i="3"/>
  <c r="O94" i="3"/>
  <c r="B90" i="3"/>
  <c r="O90" i="3"/>
  <c r="B82" i="3"/>
  <c r="O82" i="3"/>
  <c r="S87" i="2"/>
  <c r="B78" i="3"/>
  <c r="O78" i="3"/>
  <c r="B75" i="3"/>
  <c r="B61" i="3"/>
  <c r="O61" i="3"/>
  <c r="B57" i="3"/>
  <c r="O57" i="3"/>
  <c r="B49" i="3"/>
  <c r="O49" i="3"/>
  <c r="B89" i="3"/>
  <c r="O89" i="3"/>
  <c r="B81" i="3"/>
  <c r="O81" i="3"/>
  <c r="C75" i="3"/>
  <c r="B64" i="3"/>
  <c r="O64" i="3"/>
  <c r="B60" i="3"/>
  <c r="O60" i="3"/>
  <c r="B56" i="3"/>
  <c r="O56" i="3"/>
  <c r="B52" i="3"/>
  <c r="O52" i="3"/>
  <c r="S86" i="2"/>
  <c r="B77" i="3"/>
  <c r="O77" i="3"/>
  <c r="B92" i="3"/>
  <c r="O92" i="3"/>
  <c r="B88" i="3"/>
  <c r="O88" i="3"/>
  <c r="B84" i="3"/>
  <c r="O84" i="3"/>
  <c r="B80" i="3"/>
  <c r="O80" i="3"/>
  <c r="B62" i="3"/>
  <c r="O62" i="3"/>
  <c r="B54" i="3"/>
  <c r="O54" i="3"/>
  <c r="B50" i="3"/>
  <c r="O50" i="3"/>
  <c r="B86" i="3"/>
  <c r="O86" i="3"/>
  <c r="B65" i="3"/>
  <c r="O65" i="3"/>
  <c r="B53" i="3"/>
  <c r="O53" i="3"/>
  <c r="B93" i="3"/>
  <c r="O93" i="3"/>
  <c r="B85" i="3"/>
  <c r="O85" i="3"/>
  <c r="S53" i="2"/>
  <c r="B48" i="3"/>
  <c r="O48" i="3"/>
  <c r="B63" i="3"/>
  <c r="O63" i="3"/>
  <c r="B59" i="3"/>
  <c r="O59" i="3"/>
  <c r="B55" i="3"/>
  <c r="O55" i="3"/>
  <c r="B51" i="3"/>
  <c r="O51" i="3"/>
  <c r="B95" i="3"/>
  <c r="O95" i="3"/>
  <c r="B91" i="3"/>
  <c r="O91" i="3"/>
  <c r="B87" i="3"/>
  <c r="O87" i="3"/>
  <c r="B83" i="3"/>
  <c r="O83" i="3"/>
  <c r="S88" i="2"/>
  <c r="B79" i="3"/>
  <c r="O79" i="3"/>
  <c r="S102" i="3"/>
  <c r="S100" i="3"/>
  <c r="S101" i="3"/>
  <c r="S27" i="3"/>
  <c r="S99" i="3"/>
  <c r="S39" i="3"/>
  <c r="S41" i="3"/>
  <c r="S70" i="3"/>
  <c r="S34" i="3"/>
  <c r="S36" i="3"/>
  <c r="S72" i="3"/>
  <c r="S22" i="3"/>
  <c r="S71" i="3"/>
  <c r="S73" i="3"/>
  <c r="W125" i="2"/>
  <c r="AA31" i="2"/>
  <c r="N84" i="2"/>
  <c r="N170" i="2"/>
  <c r="N144" i="2"/>
  <c r="N240" i="2"/>
  <c r="AE170" i="2"/>
  <c r="N196" i="2"/>
  <c r="AA84" i="2"/>
  <c r="AE196" i="2"/>
  <c r="W36" i="2"/>
  <c r="W26" i="2"/>
  <c r="AE240" i="2"/>
  <c r="U84" i="2"/>
  <c r="AA117" i="2"/>
  <c r="W117" i="2"/>
  <c r="Q63" i="2"/>
  <c r="Q68" i="2"/>
  <c r="Q64" i="2"/>
  <c r="Q55" i="2"/>
  <c r="Q67" i="2"/>
  <c r="Q54" i="2"/>
  <c r="Q70" i="2"/>
  <c r="Q66" i="2"/>
  <c r="Q62" i="2"/>
  <c r="Q58" i="2"/>
  <c r="Q53" i="2"/>
  <c r="Q71" i="2"/>
  <c r="Q59" i="2"/>
  <c r="Q69" i="2"/>
  <c r="Q65" i="2"/>
  <c r="Q61" i="2"/>
  <c r="Q56" i="2"/>
  <c r="Q99" i="2"/>
  <c r="Q95" i="2"/>
  <c r="Q86" i="2"/>
  <c r="Q98" i="2"/>
  <c r="Q89" i="2"/>
  <c r="Q101" i="2"/>
  <c r="Q97" i="2"/>
  <c r="Q93" i="2"/>
  <c r="Q88" i="2"/>
  <c r="Q103" i="2"/>
  <c r="Q91" i="2"/>
  <c r="Q102" i="2"/>
  <c r="Q94" i="2"/>
  <c r="Q100" i="2"/>
  <c r="Q96" i="2"/>
  <c r="Q92" i="2"/>
  <c r="Q87" i="2"/>
  <c r="Q60" i="2"/>
  <c r="Q90" i="2"/>
  <c r="Q57" i="2"/>
  <c r="AA77" i="2"/>
  <c r="AA32" i="2"/>
  <c r="W110" i="2"/>
  <c r="W37" i="2"/>
  <c r="AA79" i="2"/>
  <c r="W19" i="2"/>
  <c r="AA20" i="2"/>
  <c r="W77" i="2"/>
  <c r="W32" i="2"/>
  <c r="S54" i="2"/>
  <c r="AA112" i="2"/>
  <c r="AA111" i="2"/>
  <c r="U107" i="2"/>
  <c r="AA118" i="2"/>
  <c r="AA121" i="2"/>
  <c r="AA26" i="2"/>
  <c r="AA123" i="2"/>
  <c r="W78" i="2"/>
  <c r="W79" i="2"/>
  <c r="AB53" i="2"/>
  <c r="AB54" i="2"/>
  <c r="U74" i="2"/>
  <c r="AD46" i="2"/>
  <c r="W20" i="2"/>
  <c r="W118" i="2"/>
  <c r="W121" i="2"/>
  <c r="M242" i="2"/>
  <c r="M121" i="2"/>
  <c r="M120" i="2"/>
  <c r="AF43" i="2"/>
  <c r="AD263" i="2"/>
  <c r="W84" i="2"/>
  <c r="AF144" i="2"/>
  <c r="AD196" i="2"/>
  <c r="AD240" i="2"/>
  <c r="AD144" i="2"/>
  <c r="AD170" i="2"/>
  <c r="AE84" i="2"/>
  <c r="AE263" i="2"/>
  <c r="P170" i="2"/>
  <c r="M84" i="2"/>
  <c r="M196" i="2"/>
  <c r="M240" i="2"/>
  <c r="M144" i="2"/>
  <c r="AH56" i="2"/>
  <c r="AH54" i="2"/>
  <c r="AH55" i="2"/>
  <c r="W23" i="3"/>
  <c r="W24" i="3"/>
  <c r="V29" i="3"/>
  <c r="V28" i="3"/>
  <c r="W40" i="3"/>
  <c r="U40" i="3"/>
  <c r="T28" i="3"/>
  <c r="T29" i="3"/>
  <c r="U35" i="3"/>
  <c r="U29" i="3"/>
  <c r="U28" i="3"/>
  <c r="T35" i="3"/>
  <c r="T23" i="3"/>
  <c r="T24" i="3"/>
  <c r="U24" i="3"/>
  <c r="U23" i="3"/>
  <c r="T40" i="3"/>
  <c r="V35" i="3"/>
  <c r="V23" i="3"/>
  <c r="V24" i="3"/>
  <c r="O122" i="2"/>
  <c r="O123" i="2"/>
  <c r="M244" i="2"/>
  <c r="M245" i="2"/>
  <c r="S40" i="3"/>
  <c r="S35" i="3"/>
  <c r="S24" i="3"/>
  <c r="S23" i="3"/>
  <c r="S29" i="3"/>
  <c r="S28" i="3"/>
  <c r="AB85" i="2"/>
  <c r="AB52" i="2"/>
  <c r="AF122" i="2"/>
  <c r="AF123" i="2"/>
  <c r="AD122" i="2"/>
  <c r="AD123" i="2"/>
  <c r="O84" i="2"/>
  <c r="O170" i="2"/>
  <c r="O144" i="2"/>
  <c r="AB57" i="2"/>
  <c r="AA34" i="2"/>
  <c r="AA33" i="2"/>
  <c r="AA78" i="2"/>
  <c r="W33" i="2"/>
  <c r="W34" i="2"/>
  <c r="S55" i="2"/>
  <c r="S89" i="2"/>
  <c r="AA122" i="2"/>
  <c r="AA110" i="2"/>
  <c r="AA37" i="2"/>
  <c r="W112" i="2"/>
  <c r="W111" i="2"/>
  <c r="N120" i="2"/>
  <c r="W123" i="2"/>
  <c r="W122" i="2"/>
  <c r="M164" i="2"/>
  <c r="AF240" i="2"/>
  <c r="AF263" i="2"/>
  <c r="M166" i="2"/>
  <c r="AF170" i="2"/>
  <c r="AF196" i="2"/>
  <c r="AF84" i="2"/>
  <c r="AD84" i="2"/>
  <c r="N242" i="2"/>
  <c r="N121" i="2"/>
  <c r="O196" i="2"/>
  <c r="O240" i="2"/>
  <c r="AG263" i="2"/>
  <c r="AG84" i="2"/>
  <c r="AG144" i="2"/>
  <c r="AG170" i="2"/>
  <c r="AG196" i="2"/>
  <c r="AG240" i="2"/>
  <c r="P84" i="2"/>
  <c r="P196" i="2"/>
  <c r="P144" i="2"/>
  <c r="P240" i="2"/>
  <c r="M165" i="2"/>
  <c r="AH53" i="2"/>
  <c r="W132" i="2"/>
  <c r="W131" i="2"/>
  <c r="M246" i="2"/>
  <c r="M247" i="2"/>
  <c r="M198" i="2"/>
  <c r="S56" i="2"/>
  <c r="W38" i="2"/>
  <c r="W39" i="2"/>
  <c r="S90" i="2"/>
  <c r="AA39" i="2"/>
  <c r="AA38" i="2"/>
  <c r="N166" i="2"/>
  <c r="N244" i="2"/>
  <c r="N245" i="2"/>
  <c r="N164" i="2"/>
  <c r="N165" i="2"/>
  <c r="S57" i="2"/>
  <c r="S91" i="2"/>
  <c r="N246" i="2"/>
  <c r="N247" i="2"/>
  <c r="S58" i="2"/>
  <c r="S92" i="2"/>
  <c r="N198" i="2"/>
  <c r="S59" i="2"/>
  <c r="S93" i="2"/>
  <c r="S60" i="2"/>
  <c r="S94" i="2"/>
  <c r="S61" i="2"/>
  <c r="S95" i="2"/>
  <c r="S62" i="2"/>
  <c r="S96" i="2"/>
  <c r="S63" i="2"/>
  <c r="S97" i="2"/>
  <c r="S64" i="2"/>
  <c r="S98" i="2"/>
  <c r="S65" i="2"/>
  <c r="S99" i="2"/>
  <c r="S66" i="2"/>
  <c r="S100" i="2"/>
  <c r="S67" i="2"/>
  <c r="S101" i="2"/>
  <c r="S68" i="2"/>
  <c r="S102" i="2"/>
  <c r="S69" i="2"/>
  <c r="S103" i="2"/>
  <c r="S71" i="2"/>
  <c r="S70" i="2"/>
  <c r="AH57" i="2"/>
  <c r="AH63" i="2"/>
  <c r="AH66" i="2"/>
  <c r="AH64" i="2"/>
  <c r="AH59" i="2"/>
  <c r="AH60" i="2"/>
  <c r="AH71" i="2"/>
  <c r="AH62" i="2"/>
  <c r="AH69" i="2"/>
  <c r="AH68" i="2"/>
  <c r="AH61" i="2"/>
  <c r="AH67" i="2"/>
  <c r="AH58" i="2"/>
  <c r="AH65" i="2"/>
  <c r="AH70" i="2"/>
  <c r="AD52" i="2"/>
  <c r="T80" i="2" a="1"/>
  <c r="U82" i="2"/>
  <c r="U81" i="2"/>
  <c r="V72" i="2"/>
  <c r="T81" i="2"/>
  <c r="W82" i="2"/>
  <c r="AE52" i="2"/>
  <c r="V80" i="2"/>
  <c r="U80" i="2"/>
  <c r="T80" i="2"/>
  <c r="AG72" i="2"/>
  <c r="AF72" i="2"/>
  <c r="AE73" i="2"/>
  <c r="AE72" i="2"/>
  <c r="AD73" i="2"/>
  <c r="AD72" i="2"/>
  <c r="AD75" i="2"/>
  <c r="AF73" i="2"/>
  <c r="AG73" i="2"/>
  <c r="AD256" i="2"/>
  <c r="AF256" i="2"/>
  <c r="AE75" i="2"/>
  <c r="AE256" i="2"/>
  <c r="AG256" i="2"/>
  <c r="AG52" i="2"/>
  <c r="AG53" i="2"/>
  <c r="AG54" i="2"/>
  <c r="AG55" i="2"/>
  <c r="AG56" i="2"/>
  <c r="AG57" i="2"/>
  <c r="AG58" i="2"/>
  <c r="AG59" i="2"/>
  <c r="AG60" i="2"/>
  <c r="AG61" i="2"/>
  <c r="AG62" i="2"/>
  <c r="AG63" i="2"/>
  <c r="AG64" i="2"/>
  <c r="AG65" i="2"/>
  <c r="AG66" i="2"/>
  <c r="AG67" i="2"/>
  <c r="AG68" i="2"/>
  <c r="AG69" i="2"/>
  <c r="AG70" i="2"/>
  <c r="AG71" i="2"/>
  <c r="AG75" i="2"/>
  <c r="AF52" i="2"/>
  <c r="AF53" i="2"/>
  <c r="AF54" i="2"/>
  <c r="AF55" i="2"/>
  <c r="AF56" i="2"/>
  <c r="AF57" i="2"/>
  <c r="AF58" i="2"/>
  <c r="AF59" i="2"/>
  <c r="AF60" i="2"/>
  <c r="AF61" i="2"/>
  <c r="AF62" i="2"/>
  <c r="AF63" i="2"/>
  <c r="AF64" i="2"/>
  <c r="AF65" i="2"/>
  <c r="AF66" i="2"/>
  <c r="AF67" i="2"/>
  <c r="AF68" i="2"/>
  <c r="AF69" i="2"/>
  <c r="AF70" i="2"/>
  <c r="AF71" i="2"/>
  <c r="AF75" i="2"/>
  <c r="E52" i="2"/>
  <c r="C80" i="2" a="1"/>
  <c r="D82" i="2"/>
  <c r="D81" i="2"/>
  <c r="E72" i="2"/>
  <c r="C81" i="2"/>
  <c r="E80" i="2"/>
  <c r="D80" i="2"/>
  <c r="C80" i="2"/>
  <c r="O73" i="2"/>
  <c r="P73" i="2"/>
  <c r="P52" i="2"/>
  <c r="P53" i="2"/>
  <c r="P54" i="2"/>
  <c r="P55" i="2"/>
  <c r="P56" i="2"/>
  <c r="P57" i="2"/>
  <c r="P58" i="2"/>
  <c r="P59" i="2"/>
  <c r="P60" i="2"/>
  <c r="P61" i="2"/>
  <c r="P62" i="2"/>
  <c r="P63" i="2"/>
  <c r="P64" i="2"/>
  <c r="P65" i="2"/>
  <c r="P66" i="2"/>
  <c r="P67" i="2"/>
  <c r="P68" i="2"/>
  <c r="P69" i="2"/>
  <c r="P70" i="2"/>
  <c r="P71" i="2"/>
  <c r="P75" i="2"/>
  <c r="O244" i="2"/>
  <c r="P242" i="2"/>
  <c r="P244" i="2"/>
  <c r="E73" i="2"/>
  <c r="E76" i="2"/>
  <c r="E75" i="2"/>
  <c r="Q52" i="2"/>
  <c r="C82" i="2"/>
  <c r="E82" i="2"/>
  <c r="E81" i="2"/>
  <c r="V77" i="2"/>
  <c r="V73" i="2"/>
  <c r="V75" i="2"/>
  <c r="V119" i="2"/>
  <c r="V79" i="2"/>
  <c r="V78" i="2"/>
  <c r="E74" i="2"/>
  <c r="P246" i="2"/>
  <c r="P245" i="2"/>
  <c r="P247" i="2"/>
  <c r="AD78" i="2"/>
  <c r="AD77" i="2"/>
  <c r="AD76" i="2"/>
  <c r="AD79" i="2"/>
  <c r="V82" i="2"/>
  <c r="T82" i="2"/>
  <c r="AF79" i="2"/>
  <c r="V81" i="2"/>
  <c r="AD244" i="2"/>
  <c r="AD249" i="2"/>
  <c r="AE77" i="2"/>
  <c r="AE78" i="2"/>
  <c r="AE76" i="2"/>
  <c r="AE79" i="2"/>
  <c r="AF244" i="2"/>
  <c r="AF77" i="2"/>
  <c r="AD242" i="2"/>
  <c r="AD258" i="2"/>
  <c r="AD257" i="2"/>
  <c r="AD259" i="2"/>
  <c r="AD246" i="2"/>
  <c r="AD245" i="2"/>
  <c r="AD247" i="2"/>
  <c r="AD251" i="2"/>
  <c r="AD250" i="2"/>
  <c r="AD252" i="2"/>
  <c r="AE249" i="2"/>
  <c r="AE244" i="2"/>
  <c r="AG79" i="2"/>
  <c r="AF249" i="2"/>
  <c r="AG249" i="2"/>
  <c r="AG77" i="2"/>
  <c r="AE242" i="2"/>
  <c r="AE258" i="2"/>
  <c r="AE251" i="2"/>
  <c r="AE257" i="2"/>
  <c r="AE250" i="2"/>
  <c r="AE252" i="2"/>
  <c r="AE259" i="2"/>
  <c r="AG244" i="2"/>
  <c r="AG78" i="2"/>
  <c r="AG76" i="2"/>
  <c r="AF78" i="2"/>
  <c r="AF76" i="2"/>
  <c r="AE246" i="2"/>
  <c r="AE245" i="2"/>
  <c r="AE247" i="2"/>
  <c r="AG242" i="2"/>
  <c r="AG258" i="2"/>
  <c r="AG257" i="2"/>
  <c r="AG259" i="2"/>
  <c r="AG246" i="2"/>
  <c r="AG245" i="2"/>
  <c r="AG247" i="2"/>
  <c r="AG251" i="2"/>
  <c r="AG250" i="2"/>
  <c r="AG252" i="2"/>
  <c r="AF242" i="2"/>
  <c r="AF258" i="2"/>
  <c r="AF257" i="2"/>
  <c r="AF259" i="2"/>
  <c r="AF246" i="2"/>
  <c r="AF245" i="2"/>
  <c r="AF247" i="2"/>
  <c r="AF251" i="2"/>
  <c r="AF250" i="2"/>
  <c r="AF252" i="2"/>
  <c r="AG122" i="2"/>
  <c r="AG123" i="2"/>
  <c r="AE122" i="2"/>
  <c r="AE123" i="2"/>
  <c r="AH52" i="2"/>
  <c r="AE46" i="2"/>
  <c r="V74" i="2"/>
  <c r="V173" i="2"/>
  <c r="V190" i="2"/>
  <c r="V76" i="2"/>
  <c r="V164" i="2"/>
  <c r="E104" i="2"/>
  <c r="Q104" i="2"/>
  <c r="E85" i="2"/>
  <c r="E118" i="2"/>
  <c r="N45" i="2"/>
  <c r="P44" i="2"/>
  <c r="F82" i="2"/>
  <c r="C113" i="2" a="1"/>
  <c r="D115" i="2"/>
  <c r="D114" i="2"/>
  <c r="E105" i="2"/>
  <c r="C114" i="2"/>
  <c r="F115" i="2"/>
  <c r="P139" i="2"/>
  <c r="P141" i="2" s="1"/>
  <c r="E113" i="2"/>
  <c r="D113" i="2"/>
  <c r="C113" i="2"/>
  <c r="P105" i="2"/>
  <c r="P72" i="2"/>
  <c r="P137" i="2"/>
  <c r="F134" i="2"/>
  <c r="P85" i="2"/>
  <c r="P86" i="2"/>
  <c r="P87" i="2"/>
  <c r="P88" i="2"/>
  <c r="P89" i="2"/>
  <c r="P90" i="2"/>
  <c r="P91" i="2"/>
  <c r="P92" i="2"/>
  <c r="P93" i="2"/>
  <c r="P94" i="2"/>
  <c r="P95" i="2"/>
  <c r="P96" i="2"/>
  <c r="P97" i="2"/>
  <c r="P98" i="2"/>
  <c r="P99" i="2"/>
  <c r="P100" i="2"/>
  <c r="P101" i="2"/>
  <c r="P102" i="2"/>
  <c r="P103" i="2"/>
  <c r="P104" i="2"/>
  <c r="P108" i="2"/>
  <c r="P138" i="2"/>
  <c r="O139" i="2"/>
  <c r="O141" i="2" s="1"/>
  <c r="O105" i="2"/>
  <c r="O72" i="2"/>
  <c r="O137" i="2"/>
  <c r="O52" i="2"/>
  <c r="O53" i="2"/>
  <c r="O54" i="2"/>
  <c r="O55" i="2"/>
  <c r="O56" i="2"/>
  <c r="O57" i="2"/>
  <c r="O58" i="2"/>
  <c r="O59" i="2"/>
  <c r="O60" i="2"/>
  <c r="O61" i="2"/>
  <c r="O62" i="2"/>
  <c r="O63" i="2"/>
  <c r="O64" i="2"/>
  <c r="O65" i="2"/>
  <c r="O66" i="2"/>
  <c r="O67" i="2"/>
  <c r="O68" i="2"/>
  <c r="O69" i="2"/>
  <c r="O70" i="2"/>
  <c r="O71" i="2"/>
  <c r="O75" i="2"/>
  <c r="O85" i="2"/>
  <c r="O86" i="2"/>
  <c r="O87" i="2"/>
  <c r="O88" i="2"/>
  <c r="O89" i="2"/>
  <c r="O90" i="2"/>
  <c r="O91" i="2"/>
  <c r="O92" i="2"/>
  <c r="O93" i="2"/>
  <c r="O94" i="2"/>
  <c r="O95" i="2"/>
  <c r="O96" i="2"/>
  <c r="O97" i="2"/>
  <c r="O98" i="2"/>
  <c r="O99" i="2"/>
  <c r="O100" i="2"/>
  <c r="O101" i="2"/>
  <c r="O102" i="2"/>
  <c r="O103" i="2"/>
  <c r="O104" i="2"/>
  <c r="O108" i="2"/>
  <c r="O138" i="2"/>
  <c r="P106" i="2"/>
  <c r="P223" i="2"/>
  <c r="F129" i="2"/>
  <c r="F135" i="2"/>
  <c r="P228" i="2"/>
  <c r="P233" i="2" s="1"/>
  <c r="P234" i="2" s="1"/>
  <c r="O106" i="2"/>
  <c r="O223" i="2"/>
  <c r="O228" i="2"/>
  <c r="O233" i="2" s="1"/>
  <c r="O234" i="2" s="1"/>
  <c r="P227" i="2"/>
  <c r="P229" i="2" s="1"/>
  <c r="O227" i="2"/>
  <c r="O229" i="2" s="1"/>
  <c r="P147" i="2"/>
  <c r="P146" i="2"/>
  <c r="O147" i="2"/>
  <c r="O146" i="2"/>
  <c r="P148" i="2"/>
  <c r="P200" i="2" s="1"/>
  <c r="O242" i="2"/>
  <c r="O246" i="2"/>
  <c r="O245" i="2"/>
  <c r="O247" i="2"/>
  <c r="O120" i="2"/>
  <c r="O121" i="2"/>
  <c r="P120" i="2"/>
  <c r="P121" i="2"/>
  <c r="V122" i="2"/>
  <c r="V123" i="2"/>
  <c r="P122" i="2"/>
  <c r="P123" i="2"/>
  <c r="V121" i="2"/>
  <c r="N122" i="2"/>
  <c r="N123" i="2"/>
  <c r="E106" i="2"/>
  <c r="E109" i="2"/>
  <c r="E108" i="2"/>
  <c r="E119" i="2"/>
  <c r="N46" i="2"/>
  <c r="O225" i="2"/>
  <c r="O224" i="2"/>
  <c r="O226" i="2"/>
  <c r="P225" i="2"/>
  <c r="P224" i="2"/>
  <c r="P226" i="2"/>
  <c r="E147" i="2"/>
  <c r="E120" i="2"/>
  <c r="E215" i="2"/>
  <c r="E199" i="2"/>
  <c r="E164" i="2"/>
  <c r="E216" i="2"/>
  <c r="F133" i="2"/>
  <c r="M215" i="2"/>
  <c r="P215" i="2"/>
  <c r="P198" i="2"/>
  <c r="P209" i="2"/>
  <c r="P210" i="2" s="1"/>
  <c r="O215" i="2"/>
  <c r="O198" i="2"/>
  <c r="P199" i="2"/>
  <c r="O199" i="2"/>
  <c r="O249" i="2"/>
  <c r="O251" i="2"/>
  <c r="O250" i="2"/>
  <c r="O252" i="2"/>
  <c r="O166" i="2"/>
  <c r="O218" i="2"/>
  <c r="P165" i="2"/>
  <c r="P217" i="2"/>
  <c r="P166" i="2"/>
  <c r="P218" i="2"/>
  <c r="O165" i="2"/>
  <c r="O217" i="2"/>
  <c r="P164" i="2"/>
  <c r="P216" i="2"/>
  <c r="P76" i="2"/>
  <c r="O76" i="2"/>
  <c r="O164" i="2"/>
  <c r="O216" i="2"/>
  <c r="O109" i="2"/>
  <c r="P109" i="2"/>
  <c r="P140" i="2"/>
  <c r="P110" i="2"/>
  <c r="O110" i="2"/>
  <c r="Q85" i="2"/>
  <c r="V110" i="2"/>
  <c r="V111" i="2"/>
  <c r="V112" i="2"/>
  <c r="E107" i="2"/>
  <c r="AD85" i="2"/>
  <c r="AD86" i="2"/>
  <c r="AD87" i="2"/>
  <c r="AD88" i="2"/>
  <c r="AD89" i="2"/>
  <c r="AD90" i="2"/>
  <c r="AD91" i="2"/>
  <c r="AD92" i="2"/>
  <c r="AD93" i="2"/>
  <c r="AD94" i="2"/>
  <c r="AD95" i="2"/>
  <c r="AD96" i="2"/>
  <c r="AD97" i="2"/>
  <c r="AD98" i="2"/>
  <c r="AD99" i="2"/>
  <c r="AD100" i="2"/>
  <c r="AD101" i="2"/>
  <c r="AD102" i="2"/>
  <c r="AD103" i="2"/>
  <c r="AD104" i="2"/>
  <c r="T113" i="2" a="1"/>
  <c r="U115" i="2"/>
  <c r="U114" i="2"/>
  <c r="T114" i="2"/>
  <c r="W115" i="2"/>
  <c r="AE85" i="2"/>
  <c r="AE86" i="2"/>
  <c r="AE87" i="2"/>
  <c r="AE88" i="2"/>
  <c r="AE89" i="2"/>
  <c r="AE90" i="2"/>
  <c r="AE91" i="2"/>
  <c r="AE92" i="2"/>
  <c r="AE93" i="2"/>
  <c r="AE94" i="2"/>
  <c r="AE95" i="2"/>
  <c r="AE96" i="2"/>
  <c r="AE97" i="2"/>
  <c r="AE98" i="2"/>
  <c r="AE99" i="2"/>
  <c r="AE100" i="2"/>
  <c r="AE101" i="2"/>
  <c r="AE102" i="2"/>
  <c r="AE103" i="2"/>
  <c r="AE104" i="2"/>
  <c r="AE106" i="2"/>
  <c r="AE139" i="2"/>
  <c r="AE183" i="2" s="1"/>
  <c r="AE184" i="2" s="1"/>
  <c r="AE105" i="2"/>
  <c r="AE137" i="2"/>
  <c r="AD106" i="2"/>
  <c r="AD139" i="2"/>
  <c r="AD179" i="2" s="1"/>
  <c r="AD105" i="2"/>
  <c r="AD137" i="2"/>
  <c r="M141" i="2"/>
  <c r="V120" i="2"/>
  <c r="V215" i="2"/>
  <c r="V216" i="2"/>
  <c r="V199" i="2"/>
  <c r="AD121" i="2"/>
  <c r="AD120" i="2"/>
  <c r="AE120" i="2"/>
  <c r="AE121" i="2"/>
  <c r="AD108" i="2"/>
  <c r="AD281" i="2"/>
  <c r="AD166" i="2"/>
  <c r="AD280" i="2"/>
  <c r="AD165" i="2"/>
  <c r="AE279" i="2"/>
  <c r="AE190" i="2"/>
  <c r="AE108" i="2"/>
  <c r="AE280" i="2"/>
  <c r="AE165" i="2"/>
  <c r="AE281" i="2"/>
  <c r="AE192" i="2"/>
  <c r="AD266" i="2"/>
  <c r="AD173" i="2"/>
  <c r="AD279" i="2"/>
  <c r="AD164" i="2"/>
  <c r="AD190" i="2"/>
  <c r="AD192" i="2"/>
  <c r="AD191" i="2"/>
  <c r="AE164" i="2"/>
  <c r="AE173" i="2"/>
  <c r="AE191" i="2"/>
  <c r="AG106" i="2"/>
  <c r="AG279" i="2"/>
  <c r="AG190" i="2"/>
  <c r="AE166" i="2"/>
  <c r="AD147" i="2"/>
  <c r="AD138" i="2"/>
  <c r="AD146" i="2"/>
  <c r="AD157" i="2"/>
  <c r="AD158" i="2"/>
  <c r="AD172" i="2"/>
  <c r="AD153" i="2"/>
  <c r="AD160" i="2" s="1"/>
  <c r="AE266" i="2"/>
  <c r="AE147" i="2"/>
  <c r="AF106" i="2"/>
  <c r="AF279" i="2"/>
  <c r="AF164" i="2"/>
  <c r="AF190" i="2"/>
  <c r="U113" i="2"/>
  <c r="AG85" i="2"/>
  <c r="AG86" i="2"/>
  <c r="AG87" i="2"/>
  <c r="AG88" i="2"/>
  <c r="AG89" i="2"/>
  <c r="AG90" i="2"/>
  <c r="AG91" i="2"/>
  <c r="AG92" i="2"/>
  <c r="AG93" i="2"/>
  <c r="AG94" i="2"/>
  <c r="AG95" i="2"/>
  <c r="AG96" i="2"/>
  <c r="AG97" i="2"/>
  <c r="AG98" i="2"/>
  <c r="AG99" i="2"/>
  <c r="AG100" i="2"/>
  <c r="AG101" i="2"/>
  <c r="AG102" i="2"/>
  <c r="AG103" i="2"/>
  <c r="AG104" i="2"/>
  <c r="AG121" i="2"/>
  <c r="AG108" i="2"/>
  <c r="AG281" i="2"/>
  <c r="AG192" i="2"/>
  <c r="AG120" i="2"/>
  <c r="AG280" i="2"/>
  <c r="AG191" i="2"/>
  <c r="AG164" i="2"/>
  <c r="T113" i="2"/>
  <c r="AF85" i="2"/>
  <c r="AF86" i="2"/>
  <c r="AF87" i="2"/>
  <c r="AF88" i="2"/>
  <c r="AF89" i="2"/>
  <c r="AF90" i="2"/>
  <c r="AF91" i="2"/>
  <c r="AF92" i="2"/>
  <c r="AF93" i="2"/>
  <c r="AF94" i="2"/>
  <c r="AF95" i="2"/>
  <c r="AF96" i="2"/>
  <c r="AF97" i="2"/>
  <c r="AF98" i="2"/>
  <c r="AF99" i="2"/>
  <c r="AF100" i="2"/>
  <c r="AF101" i="2"/>
  <c r="AF102" i="2"/>
  <c r="AF103" i="2"/>
  <c r="AF104" i="2"/>
  <c r="AF120" i="2"/>
  <c r="AF121" i="2"/>
  <c r="AE138" i="2"/>
  <c r="AE172" i="2"/>
  <c r="AE146" i="2"/>
  <c r="AD265" i="2"/>
  <c r="AD268" i="2"/>
  <c r="AD175" i="2" s="1"/>
  <c r="AG166" i="2"/>
  <c r="AG165" i="2"/>
  <c r="V113" i="2"/>
  <c r="AF105" i="2"/>
  <c r="AF137" i="2"/>
  <c r="AF173" i="2"/>
  <c r="AG105" i="2"/>
  <c r="AG137" i="2"/>
  <c r="AG173" i="2"/>
  <c r="AE265" i="2"/>
  <c r="AG266" i="2"/>
  <c r="AG147" i="2"/>
  <c r="AF108" i="2"/>
  <c r="AF280" i="2"/>
  <c r="AF191" i="2"/>
  <c r="AF165" i="2"/>
  <c r="AF266" i="2"/>
  <c r="AF147" i="2"/>
  <c r="AF281" i="2"/>
  <c r="AF192" i="2"/>
  <c r="AF166" i="2"/>
  <c r="AG138" i="2"/>
  <c r="AG265" i="2"/>
  <c r="AF138" i="2"/>
  <c r="AF265" i="2"/>
  <c r="AF109" i="2"/>
  <c r="AF111" i="2"/>
  <c r="AG109" i="2"/>
  <c r="AG111" i="2"/>
  <c r="AD223" i="2"/>
  <c r="AD225" i="2"/>
  <c r="AD224" i="2"/>
  <c r="AD226" i="2"/>
  <c r="AE223" i="2"/>
  <c r="AE225" i="2"/>
  <c r="AE224" i="2"/>
  <c r="AE226" i="2"/>
  <c r="AF223" i="2"/>
  <c r="AF225" i="2"/>
  <c r="AF224" i="2"/>
  <c r="AF226" i="2"/>
  <c r="AG223" i="2"/>
  <c r="AG225" i="2"/>
  <c r="AG224" i="2"/>
  <c r="AG226" i="2"/>
  <c r="W135" i="2"/>
  <c r="AF227" i="2"/>
  <c r="AF229" i="2" s="1"/>
  <c r="AG227" i="2"/>
  <c r="AG229" i="2" s="1"/>
  <c r="AD227" i="2"/>
  <c r="AD229" i="2" s="1"/>
  <c r="AE227" i="2"/>
  <c r="AE229" i="2" s="1"/>
  <c r="AF172" i="2"/>
  <c r="AG172" i="2"/>
  <c r="AF146" i="2"/>
  <c r="AG146" i="2"/>
  <c r="P249" i="2"/>
  <c r="P251" i="2"/>
  <c r="P250" i="2"/>
  <c r="P252" i="2"/>
  <c r="O77" i="2"/>
  <c r="P77" i="2"/>
  <c r="AF198" i="2"/>
  <c r="AG198" i="2"/>
  <c r="AE198" i="2"/>
  <c r="AD198" i="2"/>
  <c r="M76" i="2"/>
  <c r="M216" i="2"/>
  <c r="M77" i="2"/>
  <c r="M109" i="2"/>
  <c r="N76" i="2"/>
  <c r="M110" i="2"/>
  <c r="N77" i="2"/>
  <c r="N110" i="2"/>
  <c r="N109" i="2"/>
  <c r="M199" i="2"/>
  <c r="M218" i="2"/>
  <c r="N215" i="2"/>
  <c r="N218" i="2"/>
  <c r="M217" i="2"/>
  <c r="N217" i="2"/>
  <c r="N216" i="2"/>
  <c r="N199" i="2"/>
  <c r="M205" i="2"/>
  <c r="N249" i="2"/>
  <c r="N251" i="2"/>
  <c r="N250" i="2"/>
  <c r="N252" i="2"/>
  <c r="M249" i="2"/>
  <c r="M251" i="2"/>
  <c r="M250" i="2"/>
  <c r="M252" i="2"/>
  <c r="M36" i="2"/>
  <c r="L36" i="2"/>
  <c r="M227" i="2"/>
  <c r="M229" i="2" s="1"/>
  <c r="M228" i="2"/>
  <c r="M233" i="2" s="1"/>
  <c r="M234" i="2" s="1"/>
  <c r="N227" i="2"/>
  <c r="N229" i="2" s="1"/>
  <c r="N228" i="2"/>
  <c r="N233" i="2" s="1"/>
  <c r="N234" i="2" s="1"/>
  <c r="AH92" i="2"/>
  <c r="AH94" i="2"/>
  <c r="AH87" i="2"/>
  <c r="AH103" i="2"/>
  <c r="AH96" i="2"/>
  <c r="AH101" i="2"/>
  <c r="AH99" i="2"/>
  <c r="AH97" i="2"/>
  <c r="AH98" i="2"/>
  <c r="AH91" i="2"/>
  <c r="AH93" i="2"/>
  <c r="AH86" i="2"/>
  <c r="AH89" i="2"/>
  <c r="AH102" i="2"/>
  <c r="AH88" i="2"/>
  <c r="AH95" i="2"/>
  <c r="AH100" i="2"/>
  <c r="V114" i="2"/>
  <c r="AH90" i="2"/>
  <c r="AH85" i="2"/>
  <c r="AE109" i="2"/>
  <c r="AD109" i="2"/>
  <c r="AD111" i="2"/>
  <c r="AD112" i="2"/>
  <c r="AD110" i="2"/>
  <c r="T115" i="2"/>
  <c r="AG112" i="2"/>
  <c r="V115" i="2"/>
  <c r="AE111" i="2"/>
  <c r="AE110" i="2"/>
  <c r="AE112" i="2"/>
  <c r="AG110" i="2"/>
  <c r="AF112" i="2"/>
  <c r="AF110" i="2"/>
  <c r="U120" i="2"/>
  <c r="U215" i="2"/>
  <c r="U199" i="2"/>
  <c r="U216" i="2"/>
  <c r="AH104" i="2"/>
  <c r="W120" i="2"/>
  <c r="X120" i="2"/>
  <c r="Y120" i="2"/>
  <c r="Z120" i="2"/>
  <c r="AA120" i="2"/>
  <c r="B137" i="2"/>
  <c r="C115" i="2"/>
  <c r="E115" i="2"/>
  <c r="E114" i="2"/>
  <c r="AG139" i="2"/>
  <c r="AG153" i="2" s="1"/>
  <c r="AF139" i="2"/>
  <c r="AF153" i="2" s="1"/>
  <c r="W133" i="2"/>
  <c r="AD215" i="2"/>
  <c r="AG215" i="2"/>
  <c r="AF215" i="2"/>
  <c r="AF209" i="2"/>
  <c r="AF210" i="2" s="1"/>
  <c r="AE215" i="2"/>
  <c r="W134" i="2"/>
  <c r="S137" i="2"/>
  <c r="M37" i="2"/>
  <c r="M38" i="2"/>
  <c r="L37" i="2"/>
  <c r="L38" i="2" s="1"/>
  <c r="AD113" i="2"/>
  <c r="AD114" i="2"/>
  <c r="AE113" i="2"/>
  <c r="AE114" i="2"/>
  <c r="AG114" i="2"/>
  <c r="AF114" i="2"/>
  <c r="AD140" i="2"/>
  <c r="AD218" i="2"/>
  <c r="AD80" i="2"/>
  <c r="AD81" i="2"/>
  <c r="AE80" i="2"/>
  <c r="AE81" i="2"/>
  <c r="AF81" i="2"/>
  <c r="AG81" i="2"/>
  <c r="AD271" i="2"/>
  <c r="AE199" i="2"/>
  <c r="AD216" i="2"/>
  <c r="AD254" i="2"/>
  <c r="AD199" i="2"/>
  <c r="AD217" i="2"/>
  <c r="AF216" i="2"/>
  <c r="AF254" i="2"/>
  <c r="AE271" i="2"/>
  <c r="AE218" i="2"/>
  <c r="AE217" i="2"/>
  <c r="AE216" i="2"/>
  <c r="AE254" i="2"/>
  <c r="AG254" i="2"/>
  <c r="AG80" i="2"/>
  <c r="AF80" i="2"/>
  <c r="AG216" i="2"/>
  <c r="AG218" i="2"/>
  <c r="AG217" i="2"/>
  <c r="AG199" i="2"/>
  <c r="AF217" i="2"/>
  <c r="AF199" i="2"/>
  <c r="AF218" i="2"/>
  <c r="AF267" i="2"/>
  <c r="AF200" i="2" s="1"/>
  <c r="AG270" i="2"/>
  <c r="AF271" i="2"/>
  <c r="AF113" i="2"/>
  <c r="AG113" i="2"/>
  <c r="AD141" i="2"/>
  <c r="AF228" i="2" l="1"/>
  <c r="AF233" i="2" s="1"/>
  <c r="AF234" i="2" s="1"/>
  <c r="M152" i="2"/>
  <c r="N152" i="2"/>
  <c r="O152" i="2"/>
  <c r="O157" i="2" s="1"/>
  <c r="O158" i="2" s="1"/>
  <c r="M151" i="2"/>
  <c r="M153" i="2" s="1"/>
  <c r="N153" i="2"/>
  <c r="P152" i="2"/>
  <c r="P157" i="2" s="1"/>
  <c r="P158" i="2" s="1"/>
  <c r="P151" i="2"/>
  <c r="P153" i="2" s="1"/>
  <c r="AE230" i="2"/>
  <c r="N231" i="2"/>
  <c r="N232" i="2" s="1"/>
  <c r="N230" i="2"/>
  <c r="N235" i="2" s="1"/>
  <c r="AG230" i="2"/>
  <c r="AF230" i="2"/>
  <c r="AD230" i="2"/>
  <c r="M230" i="2"/>
  <c r="M235" i="2" s="1"/>
  <c r="M231" i="2"/>
  <c r="M232" i="2" s="1"/>
  <c r="O231" i="2"/>
  <c r="O232" i="2" s="1"/>
  <c r="O230" i="2"/>
  <c r="O235" i="2" s="1"/>
  <c r="P231" i="2"/>
  <c r="P232" i="2" s="1"/>
  <c r="P230" i="2"/>
  <c r="P235" i="2" s="1"/>
  <c r="AG228" i="2"/>
  <c r="AG233" i="2" s="1"/>
  <c r="AG234" i="2" s="1"/>
  <c r="AD228" i="2"/>
  <c r="AD233" i="2" s="1"/>
  <c r="AD234" i="2" s="1"/>
  <c r="P203" i="2"/>
  <c r="P205" i="2" s="1"/>
  <c r="P206" i="2" s="1"/>
  <c r="O203" i="2"/>
  <c r="O205" i="2" s="1"/>
  <c r="N203" i="2"/>
  <c r="AE228" i="2"/>
  <c r="AE233" i="2" s="1"/>
  <c r="AE234" i="2" s="1"/>
  <c r="AD203" i="2"/>
  <c r="AF148" i="2"/>
  <c r="AD161" i="2"/>
  <c r="AD162" i="2" s="1"/>
  <c r="AD159" i="2"/>
  <c r="AD183" i="2"/>
  <c r="AD184" i="2" s="1"/>
  <c r="AD276" i="2"/>
  <c r="AD277" i="2" s="1"/>
  <c r="AG160" i="2"/>
  <c r="AG159" i="2"/>
  <c r="AG154" i="2"/>
  <c r="AG141" i="2"/>
  <c r="AG272" i="2"/>
  <c r="AG267" i="2"/>
  <c r="AG209" i="2"/>
  <c r="AG210" i="2" s="1"/>
  <c r="AG157" i="2"/>
  <c r="AG158" i="2" s="1"/>
  <c r="AG268" i="2"/>
  <c r="AG179" i="2"/>
  <c r="AG183" i="2"/>
  <c r="AG184" i="2" s="1"/>
  <c r="AG276" i="2"/>
  <c r="AG277" i="2" s="1"/>
  <c r="AG140" i="2"/>
  <c r="AG205" i="2"/>
  <c r="AF160" i="2"/>
  <c r="AF159" i="2"/>
  <c r="AF154" i="2"/>
  <c r="AF141" i="2"/>
  <c r="AF276" i="2"/>
  <c r="AF277" i="2" s="1"/>
  <c r="AF268" i="2"/>
  <c r="AF140" i="2"/>
  <c r="AF272" i="2"/>
  <c r="AF205" i="2"/>
  <c r="AF174" i="2"/>
  <c r="AF183" i="2"/>
  <c r="AF184" i="2" s="1"/>
  <c r="AF157" i="2"/>
  <c r="AF158" i="2" s="1"/>
  <c r="AF179" i="2"/>
  <c r="AE209" i="2"/>
  <c r="AE210" i="2" s="1"/>
  <c r="AE205" i="2"/>
  <c r="AE179" i="2"/>
  <c r="AE268" i="2"/>
  <c r="AE141" i="2"/>
  <c r="AE272" i="2"/>
  <c r="AE267" i="2"/>
  <c r="AE157" i="2"/>
  <c r="AE158" i="2" s="1"/>
  <c r="AE276" i="2"/>
  <c r="AE277" i="2" s="1"/>
  <c r="AE140" i="2"/>
  <c r="AE153" i="2"/>
  <c r="AD180" i="2"/>
  <c r="AD185" i="2"/>
  <c r="AD186" i="2"/>
  <c r="AD201" i="2"/>
  <c r="AD149" i="2"/>
  <c r="AD154" i="2"/>
  <c r="AD209" i="2"/>
  <c r="AD267" i="2"/>
  <c r="AD155" i="2"/>
  <c r="AD156" i="2" s="1"/>
  <c r="P149" i="2"/>
  <c r="O209" i="2"/>
  <c r="O210" i="2" s="1"/>
  <c r="O140" i="2"/>
  <c r="O149" i="2"/>
  <c r="O201" i="2" s="1"/>
  <c r="O153" i="2"/>
  <c r="N205" i="2"/>
  <c r="N148" i="2"/>
  <c r="N200" i="2" s="1"/>
  <c r="N149" i="2"/>
  <c r="N201" i="2" s="1"/>
  <c r="N157" i="2"/>
  <c r="N158" i="2" s="1"/>
  <c r="N209" i="2"/>
  <c r="N210" i="2" s="1"/>
  <c r="N140" i="2"/>
  <c r="N141" i="2"/>
  <c r="M157" i="2"/>
  <c r="M158" i="2" s="1"/>
  <c r="M209" i="2"/>
  <c r="M213" i="2" s="1"/>
  <c r="M140" i="2"/>
  <c r="M148" i="2"/>
  <c r="M150" i="2" s="1"/>
  <c r="M149" i="2"/>
  <c r="M201" i="2" s="1"/>
  <c r="O148" i="2"/>
  <c r="O200" i="2" s="1"/>
  <c r="O202" i="2" s="1"/>
  <c r="M206" i="2"/>
  <c r="AE235" i="2" l="1"/>
  <c r="AD231" i="2"/>
  <c r="AD232" i="2" s="1"/>
  <c r="AF231" i="2"/>
  <c r="AF232" i="2" s="1"/>
  <c r="AF235" i="2"/>
  <c r="AG235" i="2"/>
  <c r="P154" i="2"/>
  <c r="P155" i="2"/>
  <c r="P156" i="2" s="1"/>
  <c r="M154" i="2"/>
  <c r="M159" i="2" s="1"/>
  <c r="M155" i="2"/>
  <c r="M156" i="2" s="1"/>
  <c r="N154" i="2"/>
  <c r="N160" i="2" s="1"/>
  <c r="N161" i="2"/>
  <c r="N162" i="2" s="1"/>
  <c r="M161" i="2"/>
  <c r="M162" i="2" s="1"/>
  <c r="M211" i="2"/>
  <c r="AD270" i="2"/>
  <c r="AD272" i="2" s="1"/>
  <c r="AD205" i="2"/>
  <c r="AD207" i="2" s="1"/>
  <c r="AD208" i="2" s="1"/>
  <c r="AG231" i="2"/>
  <c r="AG232" i="2" s="1"/>
  <c r="M207" i="2"/>
  <c r="M208" i="2" s="1"/>
  <c r="M210" i="2"/>
  <c r="M214" i="2" s="1"/>
  <c r="M212" i="2"/>
  <c r="AD235" i="2"/>
  <c r="AE231" i="2"/>
  <c r="AE232" i="2" s="1"/>
  <c r="AF161" i="2"/>
  <c r="AF162" i="2" s="1"/>
  <c r="AD181" i="2"/>
  <c r="AD182" i="2" s="1"/>
  <c r="AD187" i="2"/>
  <c r="AD188" i="2" s="1"/>
  <c r="AG185" i="2"/>
  <c r="AG187" i="2"/>
  <c r="AG188" i="2" s="1"/>
  <c r="AG181" i="2"/>
  <c r="AG182" i="2" s="1"/>
  <c r="AG186" i="2"/>
  <c r="AG180" i="2"/>
  <c r="AG201" i="2"/>
  <c r="AG149" i="2"/>
  <c r="AG175" i="2"/>
  <c r="AG269" i="2"/>
  <c r="AG155" i="2"/>
  <c r="AG156" i="2" s="1"/>
  <c r="AG206" i="2"/>
  <c r="AG211" i="2"/>
  <c r="AG213" i="2"/>
  <c r="AG214" i="2" s="1"/>
  <c r="AG212" i="2"/>
  <c r="AG207" i="2"/>
  <c r="AG208" i="2" s="1"/>
  <c r="AG174" i="2"/>
  <c r="AG148" i="2"/>
  <c r="AG200" i="2"/>
  <c r="AG273" i="2"/>
  <c r="AG274" i="2"/>
  <c r="AG275" i="2" s="1"/>
  <c r="AG161" i="2"/>
  <c r="AG162" i="2" s="1"/>
  <c r="AF186" i="2"/>
  <c r="AF180" i="2"/>
  <c r="AF187" i="2"/>
  <c r="AF188" i="2" s="1"/>
  <c r="AF181" i="2"/>
  <c r="AF182" i="2" s="1"/>
  <c r="AF185" i="2"/>
  <c r="AF274" i="2"/>
  <c r="AF275" i="2" s="1"/>
  <c r="AF273" i="2"/>
  <c r="AF149" i="2"/>
  <c r="AF150" i="2" s="1"/>
  <c r="AF201" i="2"/>
  <c r="AF202" i="2" s="1"/>
  <c r="AF269" i="2"/>
  <c r="AF175" i="2"/>
  <c r="AF176" i="2" s="1"/>
  <c r="AF206" i="2"/>
  <c r="AF212" i="2" s="1"/>
  <c r="AF207" i="2"/>
  <c r="AF208" i="2" s="1"/>
  <c r="AF211" i="2"/>
  <c r="AF213" i="2"/>
  <c r="AF214" i="2" s="1"/>
  <c r="AF155" i="2"/>
  <c r="AF156" i="2" s="1"/>
  <c r="AE181" i="2"/>
  <c r="AE182" i="2" s="1"/>
  <c r="AE185" i="2"/>
  <c r="AE187" i="2"/>
  <c r="AE188" i="2" s="1"/>
  <c r="AE186" i="2"/>
  <c r="AE180" i="2"/>
  <c r="AE273" i="2"/>
  <c r="AE274" i="2"/>
  <c r="AE275" i="2" s="1"/>
  <c r="AE213" i="2"/>
  <c r="AE214" i="2" s="1"/>
  <c r="AE206" i="2"/>
  <c r="AE211" i="2" s="1"/>
  <c r="AE207" i="2"/>
  <c r="AE208" i="2" s="1"/>
  <c r="AE201" i="2"/>
  <c r="AE149" i="2"/>
  <c r="AE269" i="2"/>
  <c r="AE175" i="2"/>
  <c r="AE176" i="2" s="1"/>
  <c r="AE160" i="2"/>
  <c r="AE159" i="2"/>
  <c r="AE161" i="2"/>
  <c r="AE162" i="2" s="1"/>
  <c r="AE155" i="2"/>
  <c r="AE156" i="2" s="1"/>
  <c r="AE154" i="2"/>
  <c r="AE174" i="2"/>
  <c r="AE148" i="2"/>
  <c r="AE200" i="2"/>
  <c r="AD174" i="2"/>
  <c r="AD176" i="2" s="1"/>
  <c r="AD200" i="2"/>
  <c r="AD148" i="2"/>
  <c r="AD150" i="2" s="1"/>
  <c r="AD210" i="2"/>
  <c r="AD269" i="2"/>
  <c r="AD202" i="2"/>
  <c r="P159" i="2"/>
  <c r="P150" i="2"/>
  <c r="P201" i="2"/>
  <c r="P202" i="2" s="1"/>
  <c r="P161" i="2"/>
  <c r="P162" i="2" s="1"/>
  <c r="P160" i="2"/>
  <c r="P211" i="2"/>
  <c r="P213" i="2"/>
  <c r="P214" i="2" s="1"/>
  <c r="P207" i="2"/>
  <c r="P208" i="2" s="1"/>
  <c r="P212" i="2"/>
  <c r="O161" i="2"/>
  <c r="O162" i="2" s="1"/>
  <c r="O155" i="2"/>
  <c r="O156" i="2" s="1"/>
  <c r="O154" i="2"/>
  <c r="O160" i="2" s="1"/>
  <c r="N150" i="2"/>
  <c r="N207" i="2"/>
  <c r="N208" i="2" s="1"/>
  <c r="N206" i="2"/>
  <c r="N212" i="2" s="1"/>
  <c r="N202" i="2"/>
  <c r="N213" i="2"/>
  <c r="N214" i="2" s="1"/>
  <c r="N155" i="2"/>
  <c r="N156" i="2" s="1"/>
  <c r="M200" i="2"/>
  <c r="M202" i="2" s="1"/>
  <c r="O207" i="2"/>
  <c r="O208" i="2" s="1"/>
  <c r="O213" i="2"/>
  <c r="O214" i="2" s="1"/>
  <c r="O206" i="2"/>
  <c r="O211" i="2" s="1"/>
  <c r="O150" i="2"/>
  <c r="O212" i="2" l="1"/>
  <c r="M160" i="2"/>
  <c r="O159" i="2"/>
  <c r="N159" i="2"/>
  <c r="N211" i="2"/>
  <c r="AE212" i="2"/>
  <c r="AD206" i="2"/>
  <c r="AD211" i="2" s="1"/>
  <c r="AD274" i="2"/>
  <c r="AD275" i="2" s="1"/>
  <c r="AD273" i="2"/>
  <c r="AD213" i="2"/>
  <c r="AD214" i="2" s="1"/>
  <c r="AG150" i="2"/>
  <c r="AG202" i="2"/>
  <c r="AG176" i="2"/>
  <c r="AE150" i="2"/>
  <c r="AE202" i="2"/>
  <c r="AD212" i="2" l="1"/>
</calcChain>
</file>

<file path=xl/comments1.xml><?xml version="1.0" encoding="utf-8"?>
<comments xmlns="http://schemas.openxmlformats.org/spreadsheetml/2006/main">
  <authors>
    <author>Reviewer</author>
    <author>Will</author>
    <author>Will Hopkins</author>
  </authors>
  <commentList>
    <comment ref="B3" authorId="0" shapeId="0">
      <text>
        <r>
          <rPr>
            <sz val="8"/>
            <color indexed="81"/>
            <rFont val="Tahoma"/>
            <family val="2"/>
          </rPr>
          <t>I strongly advise you to clear any log-transformed values of missing data, save the spreadsheet as a template, then save copies for each of the custom effects that you want to investigate. You can then clear individual values of the custom effects and/or delete whole rows with the missing values without compromising the analyses of other custom effects that do not involve missing values.</t>
        </r>
      </text>
    </comment>
    <comment ref="B4" authorId="1" shapeId="0">
      <text>
        <r>
          <rPr>
            <sz val="9"/>
            <color indexed="81"/>
            <rFont val="Tahoma"/>
            <family val="2"/>
          </rPr>
          <t>Hopkins WG (2017).  Spreadsheets for analysis of controlled trials,  crossovers and time series. Sportscience 21, 1-4 (sportsci.org/2017/wghxls.htm).</t>
        </r>
      </text>
    </comment>
    <comment ref="F4" authorId="1" shapeId="0">
      <text>
        <r>
          <rPr>
            <b/>
            <sz val="9"/>
            <color indexed="81"/>
            <rFont val="Tahoma"/>
            <family val="2"/>
          </rPr>
          <t xml:space="preserve">Nov: </t>
        </r>
        <r>
          <rPr>
            <sz val="9"/>
            <color indexed="81"/>
            <rFont val="Tahoma"/>
            <family val="2"/>
          </rPr>
          <t>Fixed a bug that gave negative SE when a negative mean change in a mediator was inserted in the cell for Effect of delta predictor.</t>
        </r>
        <r>
          <rPr>
            <b/>
            <sz val="9"/>
            <color indexed="81"/>
            <rFont val="Tahoma"/>
            <family val="2"/>
          </rPr>
          <t xml:space="preserve">
Feb:</t>
        </r>
        <r>
          <rPr>
            <sz val="9"/>
            <color indexed="81"/>
            <rFont val="Tahoma"/>
            <family val="2"/>
          </rPr>
          <t xml:space="preserve"> </t>
        </r>
        <r>
          <rPr>
            <i/>
            <sz val="9"/>
            <color indexed="81"/>
            <rFont val="Tahoma"/>
            <family val="2"/>
          </rPr>
          <t>Confidence</t>
        </r>
        <r>
          <rPr>
            <sz val="9"/>
            <color indexed="81"/>
            <rFont val="Tahoma"/>
            <family val="2"/>
          </rPr>
          <t xml:space="preserve"> replaced by </t>
        </r>
        <r>
          <rPr>
            <i/>
            <sz val="9"/>
            <color indexed="81"/>
            <rFont val="Tahoma"/>
            <family val="2"/>
          </rPr>
          <t>compatibility.</t>
        </r>
        <r>
          <rPr>
            <sz val="9"/>
            <color indexed="81"/>
            <rFont val="Tahoma"/>
            <family val="2"/>
          </rPr>
          <t xml:space="preserve"> Compatibility limits are now shown for the chosen compatibility level, regardless of the number of independent decisions. Comments in these cells and those immediately below them (threshold chances for non-clinical decisions, maximum risk of harm, minimum chance of benefit) now explain decisions in terms of hypothesis tests and error rates.</t>
        </r>
      </text>
    </comment>
    <comment ref="G4" authorId="1" shapeId="0">
      <text>
        <r>
          <rPr>
            <b/>
            <sz val="9"/>
            <color indexed="81"/>
            <rFont val="Tahoma"/>
            <family val="2"/>
          </rPr>
          <t>April:</t>
        </r>
        <r>
          <rPr>
            <sz val="9"/>
            <color indexed="81"/>
            <rFont val="Tahoma"/>
            <family val="2"/>
          </rPr>
          <t xml:space="preserve"> </t>
        </r>
        <r>
          <rPr>
            <i/>
            <sz val="9"/>
            <color indexed="81"/>
            <rFont val="Tahoma"/>
            <family val="2"/>
          </rPr>
          <t>Confidence</t>
        </r>
        <r>
          <rPr>
            <sz val="9"/>
            <color indexed="81"/>
            <rFont val="Tahoma"/>
            <family val="2"/>
          </rPr>
          <t xml:space="preserve"> limits have been changed to </t>
        </r>
        <r>
          <rPr>
            <i/>
            <sz val="9"/>
            <color indexed="81"/>
            <rFont val="Tahoma"/>
            <family val="2"/>
          </rPr>
          <t>compatibility</t>
        </r>
        <r>
          <rPr>
            <sz val="9"/>
            <color indexed="81"/>
            <rFont val="Tahoma"/>
            <family val="2"/>
          </rPr>
          <t xml:space="preserve"> limits. </t>
        </r>
        <r>
          <rPr>
            <i/>
            <sz val="9"/>
            <color indexed="81"/>
            <rFont val="Tahoma"/>
            <family val="2"/>
          </rPr>
          <t>Inference</t>
        </r>
        <r>
          <rPr>
            <sz val="9"/>
            <color indexed="81"/>
            <rFont val="Tahoma"/>
            <family val="2"/>
          </rPr>
          <t xml:space="preserve"> has been changed to </t>
        </r>
        <r>
          <rPr>
            <i/>
            <sz val="9"/>
            <color indexed="81"/>
            <rFont val="Tahoma"/>
            <family val="2"/>
          </rPr>
          <t xml:space="preserve">decision. </t>
        </r>
        <r>
          <rPr>
            <sz val="9"/>
            <color indexed="81"/>
            <rFont val="Tahoma"/>
            <family val="2"/>
          </rPr>
          <t xml:space="preserve">I may have missed changing these words in some comments.
   Compatibility limits for standardized effects now take into account uncertainty in the SD used to standardize. The compatibility limits for standardized individual responses have not been updated, on the reasonable assumption that the uncertainty in the SD representing individual responses is much greater than the contribution of the uncertainty in the standardizing SD. See the article on standardized differences and changes in the 2019 issue of Sportscience.
  I also removed all cells related to compatibility limits and magnitude-based decisions for the covariates and dependent variable, since it is not appropriate to do such analyses when (as is usually the case), the control and experimental groups come from the same population. For more explanation, read the comment in the cells labeled </t>
        </r>
        <r>
          <rPr>
            <b/>
            <sz val="9"/>
            <color indexed="81"/>
            <rFont val="Tahoma"/>
            <family val="2"/>
          </rPr>
          <t>Change in treatment means</t>
        </r>
        <r>
          <rPr>
            <sz val="9"/>
            <color indexed="81"/>
            <rFont val="Tahoma"/>
            <family val="2"/>
          </rPr>
          <t xml:space="preserve">.
   </t>
        </r>
      </text>
    </comment>
    <comment ref="H4" authorId="1" shapeId="0">
      <text>
        <r>
          <rPr>
            <b/>
            <sz val="9"/>
            <color indexed="81"/>
            <rFont val="Tahoma"/>
            <family val="2"/>
          </rPr>
          <t>Oct:</t>
        </r>
        <r>
          <rPr>
            <sz val="9"/>
            <color indexed="81"/>
            <rFont val="Tahoma"/>
            <family val="2"/>
          </rPr>
          <t xml:space="preserve"> Corrected minor errors in the derivation of the smallest important ratios for the comparison of SDs.  Improved the comment for the cell </t>
        </r>
        <r>
          <rPr>
            <b/>
            <sz val="9"/>
            <color indexed="81"/>
            <rFont val="Tahoma"/>
            <family val="2"/>
          </rPr>
          <t>Hover cursor for comment on individual responses and responses</t>
        </r>
        <r>
          <rPr>
            <sz val="9"/>
            <color indexed="81"/>
            <rFont val="Tahoma"/>
            <family val="2"/>
          </rPr>
          <t xml:space="preserve"> (B30).</t>
        </r>
        <r>
          <rPr>
            <b/>
            <sz val="9"/>
            <color indexed="81"/>
            <rFont val="Tahoma"/>
            <family val="2"/>
          </rPr>
          <t xml:space="preserve">
April:</t>
        </r>
        <r>
          <rPr>
            <sz val="9"/>
            <color indexed="81"/>
            <rFont val="Tahoma"/>
            <family val="2"/>
          </rPr>
          <t xml:space="preserve"> The spreadsheet now contains new simulated data with appropriately similar values for X1 and the dependent variable for the same subject in control and experimental conditions.</t>
        </r>
        <r>
          <rPr>
            <b/>
            <sz val="9"/>
            <color indexed="81"/>
            <rFont val="Tahoma"/>
            <family val="2"/>
          </rPr>
          <t xml:space="preserve">
March:</t>
        </r>
        <r>
          <rPr>
            <sz val="9"/>
            <color indexed="81"/>
            <rFont val="Tahoma"/>
            <family val="2"/>
          </rPr>
          <t xml:space="preserve"> Following simulations showing that it doesn't work, I have removed the description of what I thought was an efficient method for constraining the error rate from the cell </t>
        </r>
        <r>
          <rPr>
            <b/>
            <sz val="9"/>
            <color indexed="81"/>
            <rFont val="Tahoma"/>
            <family val="2"/>
          </rPr>
          <t>Number of independent references</t>
        </r>
        <r>
          <rPr>
            <sz val="9"/>
            <color indexed="81"/>
            <rFont val="Tahoma"/>
            <family val="2"/>
          </rPr>
          <t xml:space="preserve">.
The overall mean and overall SD of the predictor variable are now means of the means and means of the SDs (via variances) of the two treatments. These are more appropriate than the previous values, which were means and SDs of all the data without regard for the treatment.
The panels of cells at the bottom of the spreadsheet showing inferences for the ratio of the SD in the two treatments now have smallest important ratios derived from the smallest important SD represented by the square root of the difference in the squared SDs. Additional explanation about individual differences and responses is now provided as a comment in the cell </t>
        </r>
        <r>
          <rPr>
            <b/>
            <sz val="9"/>
            <color indexed="81"/>
            <rFont val="Tahoma"/>
            <family val="2"/>
          </rPr>
          <t>Hover cursor for comment on individual responses and changes</t>
        </r>
        <r>
          <rPr>
            <sz val="9"/>
            <color indexed="81"/>
            <rFont val="Tahoma"/>
            <family val="2"/>
          </rPr>
          <t xml:space="preserve">.
</t>
        </r>
      </text>
    </comment>
    <comment ref="I4" authorId="0" shapeId="0">
      <text>
        <r>
          <rPr>
            <sz val="9"/>
            <color indexed="81"/>
            <rFont val="Tahoma"/>
            <family val="2"/>
          </rPr>
          <t xml:space="preserve">June: Removed instructions on use for post-only parallel groups. Improved instructions and choice of SD for standardizing. Made the choice of X2 automatically determined by negative weights in the </t>
        </r>
        <r>
          <rPr>
            <b/>
            <sz val="9"/>
            <color indexed="81"/>
            <rFont val="Tahoma"/>
            <family val="2"/>
          </rPr>
          <t>Custom effect</t>
        </r>
        <r>
          <rPr>
            <sz val="9"/>
            <color indexed="81"/>
            <rFont val="Tahoma"/>
            <family val="2"/>
          </rPr>
          <t xml:space="preserve"> cells. Removed the comment added in April about simple and multiple linear regression.
May: Improved comment in the </t>
        </r>
        <r>
          <rPr>
            <b/>
            <sz val="9"/>
            <color indexed="81"/>
            <rFont val="Tahoma"/>
            <family val="2"/>
          </rPr>
          <t>Effect of delta predictor =</t>
        </r>
        <r>
          <rPr>
            <sz val="9"/>
            <color indexed="81"/>
            <rFont val="Tahoma"/>
            <family val="2"/>
          </rPr>
          <t xml:space="preserve"> cell. Made apparently blank cells containing formulae a darker grey.
April: Edited comment in </t>
        </r>
        <r>
          <rPr>
            <b/>
            <sz val="9"/>
            <color indexed="81"/>
            <rFont val="Tahoma"/>
            <family val="2"/>
          </rPr>
          <t xml:space="preserve">Custom effect </t>
        </r>
        <r>
          <rPr>
            <sz val="9"/>
            <color indexed="81"/>
            <rFont val="Tahoma"/>
            <family val="2"/>
          </rPr>
          <t>cell to explain use of this spreadsheet for simple and multiple linear regression. Added time-series graphs.</t>
        </r>
      </text>
    </comment>
    <comment ref="B19" authorId="2" shapeId="0">
      <text>
        <r>
          <rPr>
            <sz val="8"/>
            <color indexed="81"/>
            <rFont val="Tahoma"/>
            <family val="2"/>
          </rPr>
          <t>I strongly advise you to clear any log-transformed values of missing data, save the spreadsheet as a template, then save copies for each of the custom effects that you want to investigate. You can then clear individual values of the custom effects and/or delete whole rows with the missing values without compromising the analyses of other custom effects that do not involve missing values.</t>
        </r>
      </text>
    </comment>
    <comment ref="B30" authorId="2" shapeId="0">
      <text>
        <r>
          <rPr>
            <sz val="8"/>
            <color indexed="81"/>
            <rFont val="Tahoma"/>
            <family val="2"/>
          </rPr>
          <t xml:space="preserve">A comparison of the SD of the custom effect for the two treatments provides an estimate of individual responses to the experimental intervention.  The SD are compared by taking the square root of the difference in their squares.  The resulting statistic is itself a standard deviation representing the typical differences in the response to the intervention from individual to individual.  So, if the mean effect of an intervention (= experimental mean - control mean) is 3.0 units, and the SD representing individual responses is 2.0 units, most individuals will have a response somewhere in the region of 1 to 5 (3-2 to 3+2). 
The confidence limits provided for this SD are based on an assumption of normality, and they are only approximate for sample sizes of ~10-20 in each group. Partly for this reason a probabilistic magnitude-based inference is not provided, but it is easy to determine if the SD is unclear (the usual scenario with small sample sizes and/or small individual responses): the inference for the SD needs to be non-clinical, so you simply inspect the lower and upper confidence limits and compare with the smallest important negative and positive effects, which for an SD are half those for a difference in means (e.g., 0.1 rather than 0.2 for a standardized difference). A full and accurate probabilistic inference is available for the ratio of the two SDs in a panel of cells at the bottom of the spreadsheet. The smallest important ratios are derived from the smallest important SD for individual responses, so the magnitude-based inferences shown there apply to the SD representing individual responses.
When you include a subject characteristic as a covariate in the analysis, you are investigating the extent to which the characteristic accounts for individual responses.  If the covariate has a substantial effect, you should see a reduction in the SD representing individual responses.  
This spreadsheet also compares the SD of the covariates for the control and experimental treatments in the pre and post tests. Because it's the same subjects in the two treatments, these are all comparisons of individual changes in the subjects, but it would be very unusual to report such comparisons in a publication.  More important is the extent to which there are changes between the treatments in the baseline means of the dependent variable and in the means of other potential modifying covariates. You may need to adjust for such differences in the analysis of the custom effect.
</t>
        </r>
      </text>
    </comment>
    <comment ref="B34" authorId="1" shapeId="0">
      <text>
        <r>
          <rPr>
            <sz val="9"/>
            <color indexed="81"/>
            <rFont val="Tahoma"/>
            <family val="2"/>
          </rPr>
          <t xml:space="preserve">When you put the threshold for the smallest important effect in these cells, the decision probabilities refer to the true effect being substantial and trivial, and you get the correct assessment about whether the effect is clear or unclear. For example, if you observed a moderate effect and it is clear, the correct decision is that the (observed) effect was moderate, and the true effect was possibly, likely (or whatever) substantially positive or negative (or beneficial or harmful, if it's a clinical decision).
On rare occasions you may put thresholds for moderate, large, etc., in these cells, in which case the decision probabilities refer to the true effect being at least moderate, large, etc. Do this only if you want to make statements such as "the true effect is likely moderate", meaning that is likely to be at least moderate. You will generally find that an effect that is, for example, likely substantial is only possibly at least moderate or even unlikely at least moderate.  
For a full discussion of smallest and other important thresholds, see the article on </t>
        </r>
        <r>
          <rPr>
            <b/>
            <sz val="9"/>
            <color indexed="81"/>
            <rFont val="Tahoma"/>
            <family val="2"/>
          </rPr>
          <t>Linear models &amp; effect magnitudes</t>
        </r>
        <r>
          <rPr>
            <sz val="9"/>
            <color indexed="81"/>
            <rFont val="Tahoma"/>
            <family val="2"/>
          </rPr>
          <t>.</t>
        </r>
      </text>
    </comment>
    <comment ref="L35" authorId="2" shapeId="0">
      <text>
        <r>
          <rPr>
            <sz val="8"/>
            <color indexed="81"/>
            <rFont val="Tahoma"/>
            <family val="2"/>
          </rPr>
          <t>This shows the chosen fraction (usually 0.20) of the between-subject SD adjusted for degrees of freedom to make the resulting standardized effects unbiased.</t>
        </r>
      </text>
    </comment>
    <comment ref="B36" authorId="0" shapeId="0">
      <text>
        <r>
          <rPr>
            <sz val="9"/>
            <color indexed="81"/>
            <rFont val="Tahoma"/>
            <family val="2"/>
          </rPr>
          <t>Put a value in this cell if analysis of raw data is appropriate (e.g., for angles, some psychometric variables, or variables that are already a percent of something) and the value is known to be associated with the smallest important difference or change in health, wealth or performance of your subjects.
The value can be positive or negative for a non-clinical inference, but for a clinical inference it must have the right sign for a harmful effect.
One example is a variable representing a Likert scale. If steps on the scale are rescaled to range from 0 to 100 (representing "percent of full-scale deflection"), the smallest important is 10 (e.g., for a pain scale) or -10 (e.g., for an energy or motivation scale).</t>
        </r>
      </text>
    </comment>
    <comment ref="B37" authorId="0" shapeId="0">
      <text>
        <r>
          <rPr>
            <sz val="9"/>
            <color indexed="81"/>
            <rFont val="Tahoma"/>
            <family val="2"/>
          </rPr>
          <t xml:space="preserve">Put a value in this cell if analysis of log-transformed data is appropriate (e.g., most measures of performance, physiology, and biochemistry) and the value is known to be associated with the smallest important difference or change in health, wealth or performance of your subjects.   
The value can be positive or negative for a non-clinical inference, but for a clinical inference it must have the right sign for a harmful effect. </t>
        </r>
        <r>
          <rPr>
            <b/>
            <sz val="9"/>
            <color indexed="81"/>
            <rFont val="Tahoma"/>
            <family val="2"/>
          </rPr>
          <t xml:space="preserve">Do not add a % sign.
</t>
        </r>
        <r>
          <rPr>
            <sz val="9"/>
            <color indexed="81"/>
            <rFont val="Tahoma"/>
            <family val="2"/>
          </rPr>
          <t xml:space="preserve">
For measures of performance of athletes who compete as individuals for the best time, distance, or other performance measure, the smallest worthwhile effect is usually around 1%, more or less depending on the measure and sport (e.g., 1% for power of a time-trial cyclist, -0.25% for time of a track runner). See the studies by Hopkins and colleagues for more, or the slideshow on this topic available at this site in the report on the performance-analysis conference in 2016.  Some physiological measures directly related to endurance performance (such as VO2max) can be assumed to have the same smallest worthwhile effect as mean power in the competitive event, around 1%.
</t>
        </r>
      </text>
    </comment>
    <comment ref="B38" authorId="0" shapeId="0">
      <text>
        <r>
          <rPr>
            <sz val="9"/>
            <color indexed="81"/>
            <rFont val="Tahoma"/>
            <family val="2"/>
          </rPr>
          <t xml:space="preserve">Put a value in this cell if analysis of log-transformed data is appropriate, the value is known to be associated with the smallest important difference or change in health, wealth or performance of your subjects, and the effects or errors are such large percents that they are expressed as factors (e.g., hormone concentrations, and genomic measures of transcription or translation). You get the same answers with factor effects as with percent effects, but when percents get large, it is easier to work with factors.
The value here can be positive only, and is usually close to 1.0.  For counts or proportions of injuries (which should be analyzed with generalized linear modeling rather than this spreadsheet), the smalles important harmful effect is an increase by a factor of 1.11. If a reduction in something is harmful, the factor is 0.9.
</t>
        </r>
      </text>
    </comment>
    <comment ref="B39" authorId="0" shapeId="0">
      <text>
        <r>
          <rPr>
            <sz val="9"/>
            <color indexed="81"/>
            <rFont val="Tahoma"/>
            <family val="2"/>
          </rPr>
          <t>Put a value in this cell for physiological, biomechanical, psychological, anthropometric or other test scores or measures and use the resulting decisions only when it is not possible to work out a raw, percent or factor mean difference or change in the measure that would be associated with a smallest important difference or change in health, wealth or competitive performance of your subjects. 
A standardized effect is the effect divided by the appropriate between-subject standard deviation, and is sometimes known as Cohen's d.  The smallest important standardized effect is 0.20, so you usually insert 0.20 (or -0.20) in this cell. For some psychometric variables (e.g., dimensions of personality), standardization is the only way to define smallest importants. 
You may choose one or more pre-tests (or unusually, post-tests) to provide the SD.  See the cells lower down. If your sample is not representative of some well-defined population, your between-subject SD may not be appropriate for standardizing, so there is a cell for inserting an SD from a well-defined population.
The value inserted here can be positive or negative for a non-clinical inference, but for a clinical inference it must have the right sign for a harmful effect.
Use standardization for measures of performance of individual team-sport athletes, but do NOT use standardization to assess the magnitude of performance effects for athletes who compete as individuals (non-interactively) for the best time, distance, or other performance measure.  
If the variable requires log transformation, make sure you use the standardized effects for the log-transformed variable.
In general, do not report the actual standardized values, but do report the qualitative magnitude and the decision based on the standardized values.</t>
        </r>
      </text>
    </comment>
    <comment ref="E42" authorId="0" shapeId="0">
      <text>
        <r>
          <rPr>
            <sz val="8"/>
            <color indexed="81"/>
            <rFont val="Tahoma"/>
            <family val="2"/>
          </rPr>
          <t>The decisions are based on whatever level of compatibility (confidence) you choose here, according to the values shown in the cells immediately below. The value should be at least 90%. Clinicial inferences are not decided with a 90% confidence interval, but choosing 90% here automatically sets the default levels for risk of harm, chance of benefit, and the benefit/harm odds ratio for such inferences.</t>
        </r>
      </text>
    </comment>
    <comment ref="E43" authorId="0" shapeId="0">
      <text>
        <r>
          <rPr>
            <sz val="8"/>
            <color indexed="81"/>
            <rFont val="Tahoma"/>
            <family val="2"/>
          </rPr>
          <t xml:space="preserve">The more decisions (or inferences) you make, the greater is the chance that you will make an error with at least one of them.  You can constrain this increase in error rate is by inserting the number of independent decisions here. The approach is equivalent to the Bonferroni adjustment to make the alpha level smaller for statistical significance. The price you pay for constraining the overall error rates with multiple decisions is an increase in the chance that you will have to declare effects unclear. The best solution to that problem is a bigger sample size. 
I explain below how the Bonferroni approach works, but first, some advice on presenting outcomes with multiple decisions. Show them without adjustment, but call special attention to those effects that would still be clear with adjustment, by highlighting them somehow, for example in </t>
        </r>
        <r>
          <rPr>
            <b/>
            <sz val="8"/>
            <color indexed="81"/>
            <rFont val="Tahoma"/>
            <family val="2"/>
          </rPr>
          <t>bold</t>
        </r>
        <r>
          <rPr>
            <sz val="8"/>
            <color indexed="81"/>
            <rFont val="Tahoma"/>
            <family val="2"/>
          </rPr>
          <t xml:space="preserve"> in a table.
How do you decide on the number of independent decisions? If there are three treatments, there are three pairwise comparisons, but these three comparisons are NOT independent. For the worst-case scenario of no real differences between three treatments A, B and C, if there is no difference between A and B and no difference between B and C, then you can be pretty sure there is no difference between A and C.  In other words, in the worst-case scenario there are only two independent differences when you have three treatments.  Similarly, with the four treatments there are three independent comparisons, not six, and so on. It is therefore reasonable to assume the number of independent comparisons is one less than the number of treatments. (The resulting adjustment is similar to the so-called Dunnett adjustment for comparing a reference treatment with several other treatments.) So if you have comparisons of three (or four, five etc.) treatments, report the 90% or your chosen compatibility limits, the clear outcomes and likelihoods thereof, and then put 2 (or 3, 4, etc.) in the adjacent cell and highlight those effects that are still clear. 
Now the explanation of the Bonferroni method... For </t>
        </r>
        <r>
          <rPr>
            <i/>
            <sz val="8"/>
            <color indexed="81"/>
            <rFont val="Tahoma"/>
            <family val="2"/>
          </rPr>
          <t>clinical</t>
        </r>
        <r>
          <rPr>
            <sz val="8"/>
            <color indexed="81"/>
            <rFont val="Tahoma"/>
            <family val="2"/>
          </rPr>
          <t xml:space="preserve"> decisions, there are two kinds of error: a Type-2 (or false-negative or failed-discovery) error when you decide to use an effect that is actually harmful (I call this a clinical Type-1 error in my sample-size spreadsheet), and another Type-2 error when you decide not to use an effect that is actually beneficial.  Default maximum rates for these errors are 0.5% and 25% for the worst-case scenario of the true values of both effects being the smallest clinically important values.  For two inferences, halving these values keeps the overall error rates at 0.5% and 25%. (More exactly, the error rates become 100*(1-(1-0.0025)^2) = 0.499% and 100*(1-(1-0.125)^2) = 23.4%.). For </t>
        </r>
        <r>
          <rPr>
            <i/>
            <sz val="8"/>
            <color indexed="81"/>
            <rFont val="Tahoma"/>
            <family val="2"/>
          </rPr>
          <t>non-clinical</t>
        </r>
        <r>
          <rPr>
            <sz val="8"/>
            <color indexed="81"/>
            <rFont val="Tahoma"/>
            <family val="2"/>
          </rPr>
          <t xml:space="preserve"> decisions, a Type-2 error occurs when you decide a substantial effect of a given sign does not have a substantial magnitude of that sign. The default maximum Type-2 error rates for either sign are 5%, and halving this value keeps the overall error rates to 5% (or more exactly, 100*(1-(1-0.025)^2) = 4.9%).
Constraining the overall error rate with multiple decisions is equivalent to using wider (higher level) compatibility intervals to make each decision. If your default level of compatibility for non-clinical decisions is 90%, the level becomes 95% (=100-(100-90)/2) for two decisions, 96.7% (=100-(100-90)/3) for three decisions, and so on. For clinical decisions, the default levels of the compatibility interval are 99% on the harm side and 50% on the benefit side for one decision, 99.5% and 75% for two decisions, and so on.
The other kind of error you can make with a decision is a Type-1 (false-positive or false-discovery), when you decide that a trivial true effect is not-trivial. This error rate depends on sample size and the true trivial value, and adjusting for multiple inferences constrains this rate, too.
The Bonferroni approach is based on the assumption that the multiple effects are independent. In reality, most effects are interdependent in a manner that the chances of making more than one error are less than the sum of the chances of the errors of each.  For example, if two effects measure exactly the same thing, and each has an error rate of 3%, the chances of two errors is only 3%, not 6%.  It follows that the adjustment is more conservative than it needs to be, which is good for appeasing reviewers. Bootstrapping the overall error rates is a good approach to take into account interdependence of effects, but it requires high-level programming in SAS or other stats package.
</t>
        </r>
      </text>
    </comment>
    <comment ref="E44" authorId="0" shapeId="0">
      <text>
        <r>
          <rPr>
            <sz val="9"/>
            <color indexed="81"/>
            <rFont val="Tahoma"/>
            <family val="2"/>
          </rPr>
          <t>This value is derived from the chosen compatibility level and the number of independent decisions.  It is also the rate of Type-2 (false-negative or failed-discovery) errors, in the worst-case scenario of the true effect being the smallest important. Expressed as a p value (e.g., 0.05 instead of 5%), it is the threshold value below which the hypothesis of a substantial effect is rejected.
If chances of substantial +ive and substantial –ive are both greater than this value, the effect "could be" substantially +ive and substantially –ive, so it is deemed unclear. Equivalently, neither hypothesis of a substantial effect is rejected.</t>
        </r>
      </text>
    </comment>
    <comment ref="L44" authorId="0" shapeId="0">
      <text>
        <r>
          <rPr>
            <sz val="8"/>
            <color indexed="81"/>
            <rFont val="Tahoma"/>
            <family val="2"/>
          </rPr>
          <t xml:space="preserve">If you leave the cell blank, you get the usual </t>
        </r>
        <r>
          <rPr>
            <b/>
            <sz val="8"/>
            <color indexed="81"/>
            <rFont val="Tahoma"/>
            <family val="2"/>
          </rPr>
          <t>unadjusted</t>
        </r>
        <r>
          <rPr>
            <sz val="8"/>
            <color indexed="81"/>
            <rFont val="Tahoma"/>
            <family val="2"/>
          </rPr>
          <t xml:space="preserve"> effect.  
To </t>
        </r>
        <r>
          <rPr>
            <b/>
            <sz val="8"/>
            <color indexed="81"/>
            <rFont val="Tahoma"/>
            <family val="2"/>
          </rPr>
          <t>adjust</t>
        </r>
        <r>
          <rPr>
            <sz val="8"/>
            <color indexed="81"/>
            <rFont val="Tahoma"/>
            <family val="2"/>
          </rPr>
          <t xml:space="preserve"> the outcome to a certain value of the predictor, insert its value here.  The usual value is the mean of the predictor, but you can explore other values.   The SD of the predictor is shown to guide your exploration!  A dashed line will appear in the figures at the chosen value.  The effect is the value where the dashed line intersects the regression line. 
If you have more than two treatments, adjust to the mean of all treatments by calculating it in another spreadsheet and inserting it here. If X2 is a combination of pretests included in the custom effect (a measure of "baseline"), make sure you use the same combination of pre-tests when calculating the mean of all groups. Derive the SD of all the treatments in the same way and insert in the</t>
        </r>
        <r>
          <rPr>
            <b/>
            <sz val="8"/>
            <color indexed="81"/>
            <rFont val="Tahoma"/>
            <family val="2"/>
          </rPr>
          <t xml:space="preserve"> Effect of delta predictor =</t>
        </r>
        <r>
          <rPr>
            <sz val="8"/>
            <color indexed="81"/>
            <rFont val="Tahoma"/>
            <family val="2"/>
          </rPr>
          <t xml:space="preserve"> cell below.
If the predictor is a binary variable coded as 0 and 1 to represent, for example, females and males, put 0 in this cell to get the effect for females, 1 to get the effect for males, and 0.5 to get the mean effect for females and males.  Use the value 0.5 for the mean,  even though there may be unequal numbers of males and females in the study. Note, however, that the estimate is based on the assumption of the same error of measurement for females and males. To allow for different errors, analyze the females and males separately, then combine with the spreadsheet </t>
        </r>
        <r>
          <rPr>
            <b/>
            <sz val="8"/>
            <color indexed="81"/>
            <rFont val="Tahoma"/>
            <family val="2"/>
          </rPr>
          <t>Combine/compare effects</t>
        </r>
        <r>
          <rPr>
            <sz val="8"/>
            <color indexed="81"/>
            <rFont val="Tahoma"/>
            <family val="2"/>
          </rPr>
          <t xml:space="preserve">.
For the </t>
        </r>
        <r>
          <rPr>
            <b/>
            <sz val="8"/>
            <color indexed="81"/>
            <rFont val="Tahoma"/>
            <family val="2"/>
          </rPr>
          <t>Both predictors</t>
        </r>
        <r>
          <rPr>
            <sz val="8"/>
            <color indexed="81"/>
            <rFont val="Tahoma"/>
            <family val="2"/>
          </rPr>
          <t xml:space="preserve"> cells, the default value for each predictor is the mean.  If you insert a different value for one predictor, it will replace the mean.
Note that the individual responses are adjusted for the predictor, too.  So, if there is a substantial effect of the predictor on the outcome, adjusting for the predictor will reduce the individual responses, because it is helping to account for them.
Quantify the effect of the predictor itself as the effect of an appropriate difference in the predictor by inserting a value for the difference in the predictor in the </t>
        </r>
        <r>
          <rPr>
            <b/>
            <sz val="8"/>
            <color indexed="81"/>
            <rFont val="Tahoma"/>
            <family val="2"/>
          </rPr>
          <t>Effect of delta predictor =</t>
        </r>
        <r>
          <rPr>
            <sz val="8"/>
            <color indexed="81"/>
            <rFont val="Tahoma"/>
            <family val="2"/>
          </rPr>
          <t xml:space="preserve"> cell below.  Read the comment there.
For a </t>
        </r>
        <r>
          <rPr>
            <b/>
            <sz val="8"/>
            <color indexed="81"/>
            <rFont val="Tahoma"/>
            <family val="2"/>
          </rPr>
          <t xml:space="preserve">mediator or mechanism analysis </t>
        </r>
        <r>
          <rPr>
            <sz val="8"/>
            <color indexed="81"/>
            <rFont val="Tahoma"/>
            <family val="2"/>
          </rPr>
          <t xml:space="preserve">(when the predictor is a change score), insert 0 (zero) to get the effect of the treatment independent of the predictor. If you want to adjust for X2 (you should), use the effect provided by the </t>
        </r>
        <r>
          <rPr>
            <b/>
            <sz val="8"/>
            <color indexed="81"/>
            <rFont val="Tahoma"/>
            <family val="2"/>
          </rPr>
          <t>Both predictors</t>
        </r>
        <r>
          <rPr>
            <sz val="8"/>
            <color indexed="81"/>
            <rFont val="Tahoma"/>
            <family val="2"/>
          </rPr>
          <t xml:space="preserve"> columns; otherwise use the effect provided by the </t>
        </r>
        <r>
          <rPr>
            <b/>
            <sz val="8"/>
            <color indexed="81"/>
            <rFont val="Tahoma"/>
            <family val="2"/>
          </rPr>
          <t>One predictor X1</t>
        </r>
        <r>
          <rPr>
            <sz val="8"/>
            <color indexed="81"/>
            <rFont val="Tahoma"/>
            <family val="2"/>
          </rPr>
          <t xml:space="preserve"> column. Compare this with the overall effect of the treatment in the </t>
        </r>
        <r>
          <rPr>
            <b/>
            <sz val="8"/>
            <color indexed="81"/>
            <rFont val="Tahoma"/>
            <family val="2"/>
          </rPr>
          <t>One predictor X2</t>
        </r>
        <r>
          <rPr>
            <sz val="8"/>
            <color indexed="81"/>
            <rFont val="Tahoma"/>
            <family val="2"/>
          </rPr>
          <t xml:space="preserve"> column, either adjusted for X2 (by putting the mean for X2 in the </t>
        </r>
        <r>
          <rPr>
            <b/>
            <sz val="8"/>
            <color indexed="81"/>
            <rFont val="Tahoma"/>
            <family val="2"/>
          </rPr>
          <t xml:space="preserve">One predictor X2 </t>
        </r>
        <r>
          <rPr>
            <sz val="8"/>
            <color indexed="81"/>
            <rFont val="Tahoma"/>
            <family val="2"/>
          </rPr>
          <t xml:space="preserve">cell) or not adjusted for X2 (by making the </t>
        </r>
        <r>
          <rPr>
            <b/>
            <sz val="8"/>
            <color indexed="81"/>
            <rFont val="Tahoma"/>
            <family val="2"/>
          </rPr>
          <t>One predictor X2</t>
        </r>
        <r>
          <rPr>
            <sz val="8"/>
            <color indexed="81"/>
            <rFont val="Tahoma"/>
            <family val="2"/>
          </rPr>
          <t xml:space="preserve"> cell blank). The difference between the overall effect and the effect independent of X1 is the effect mediated by X1. This is provided by putting the appropriate value in the cell for </t>
        </r>
        <r>
          <rPr>
            <b/>
            <sz val="8"/>
            <color indexed="81"/>
            <rFont val="Tahoma"/>
            <family val="2"/>
          </rPr>
          <t>Effect of delta predictor =</t>
        </r>
        <r>
          <rPr>
            <sz val="8"/>
            <color indexed="81"/>
            <rFont val="Tahoma"/>
            <family val="2"/>
          </rPr>
          <t xml:space="preserve">.  See the comment in that cell.
</t>
        </r>
      </text>
    </comment>
    <comment ref="AC44" authorId="0" shapeId="0">
      <text>
        <r>
          <rPr>
            <sz val="8"/>
            <color indexed="81"/>
            <rFont val="Tahoma"/>
            <family val="2"/>
          </rPr>
          <t xml:space="preserve">If you leave the cell blank, you get the usual </t>
        </r>
        <r>
          <rPr>
            <b/>
            <sz val="8"/>
            <color indexed="81"/>
            <rFont val="Tahoma"/>
            <family val="2"/>
          </rPr>
          <t>unadjusted</t>
        </r>
        <r>
          <rPr>
            <sz val="8"/>
            <color indexed="81"/>
            <rFont val="Tahoma"/>
            <family val="2"/>
          </rPr>
          <t xml:space="preserve"> effect.  
To </t>
        </r>
        <r>
          <rPr>
            <b/>
            <sz val="8"/>
            <color indexed="81"/>
            <rFont val="Tahoma"/>
            <family val="2"/>
          </rPr>
          <t>adjust</t>
        </r>
        <r>
          <rPr>
            <sz val="8"/>
            <color indexed="81"/>
            <rFont val="Tahoma"/>
            <family val="2"/>
          </rPr>
          <t xml:space="preserve"> the outcome to a certain value of the predictor, insert its value here.  The usual value is the mean of the predictor, but you can explore other values.   The SD of the predictor is shown to guide your exploration!  A dashed line will appear in the figures at the chosen value.  The effect is the value where the dashed line intersects the regression line. 
If you have more than two treatments, adjust to the mean of all treatments by calculating it in another spreadsheet and inserting it here. If X2 is a combination of pretests included in the custom effect (a measure of "baseline"), make sure you use the same combination of pre-tests when calculating the mean of all groups. Derive the SD of all the treatments in the same way and insert in the</t>
        </r>
        <r>
          <rPr>
            <b/>
            <sz val="8"/>
            <color indexed="81"/>
            <rFont val="Tahoma"/>
            <family val="2"/>
          </rPr>
          <t xml:space="preserve"> Effect of delta predictor =</t>
        </r>
        <r>
          <rPr>
            <sz val="8"/>
            <color indexed="81"/>
            <rFont val="Tahoma"/>
            <family val="2"/>
          </rPr>
          <t xml:space="preserve"> cell below.
If the predictor is a binary variable coded as 0 and 1 to represent, for example, females and males, put 0 in this cell to get the effect for females, 1 to get the effect for males, and 0.5 to get the mean effect for females and males.  Use the value 0.5 for the mean,  even though there may be unequal numbers of males and females in the study. Note, however, that the estimate is based on the assumption of the same error of measurement for females and males. To allow for different errors, analyze the females and males separately, then combine with the spreadsheet </t>
        </r>
        <r>
          <rPr>
            <b/>
            <sz val="8"/>
            <color indexed="81"/>
            <rFont val="Tahoma"/>
            <family val="2"/>
          </rPr>
          <t>Combine/compare effects</t>
        </r>
        <r>
          <rPr>
            <sz val="8"/>
            <color indexed="81"/>
            <rFont val="Tahoma"/>
            <family val="2"/>
          </rPr>
          <t xml:space="preserve">.
For the </t>
        </r>
        <r>
          <rPr>
            <b/>
            <sz val="8"/>
            <color indexed="81"/>
            <rFont val="Tahoma"/>
            <family val="2"/>
          </rPr>
          <t>Both predictors</t>
        </r>
        <r>
          <rPr>
            <sz val="8"/>
            <color indexed="81"/>
            <rFont val="Tahoma"/>
            <family val="2"/>
          </rPr>
          <t xml:space="preserve"> cells, the default value for each predictor is the mean.  If you insert a different value for one predictor, it will replace the mean.
Note that the individual responses are adjusted for the predictor, too.  So, if there is a substantial effect of the predictor on the outcome, adjusting for the predictor will reduce the individual responses, because it is helping to account for them.
Quantify the effect of the predictor itself as the effect of an appropriate difference in the predictor by inserting a value for the difference in the predictor in the </t>
        </r>
        <r>
          <rPr>
            <b/>
            <sz val="8"/>
            <color indexed="81"/>
            <rFont val="Tahoma"/>
            <family val="2"/>
          </rPr>
          <t>Effect of delta predictor =</t>
        </r>
        <r>
          <rPr>
            <sz val="8"/>
            <color indexed="81"/>
            <rFont val="Tahoma"/>
            <family val="2"/>
          </rPr>
          <t xml:space="preserve"> cell below.  Read the comment there.
For a </t>
        </r>
        <r>
          <rPr>
            <b/>
            <sz val="8"/>
            <color indexed="81"/>
            <rFont val="Tahoma"/>
            <family val="2"/>
          </rPr>
          <t xml:space="preserve">mediator or mechanism analysis </t>
        </r>
        <r>
          <rPr>
            <sz val="8"/>
            <color indexed="81"/>
            <rFont val="Tahoma"/>
            <family val="2"/>
          </rPr>
          <t xml:space="preserve">(when the predictor is a change score), insert 0 (zero) to get the effect of the treatment independent of the predictor. If you want to adjust for X2 (you should), use the effect provided by the </t>
        </r>
        <r>
          <rPr>
            <b/>
            <sz val="8"/>
            <color indexed="81"/>
            <rFont val="Tahoma"/>
            <family val="2"/>
          </rPr>
          <t>Both predictors</t>
        </r>
        <r>
          <rPr>
            <sz val="8"/>
            <color indexed="81"/>
            <rFont val="Tahoma"/>
            <family val="2"/>
          </rPr>
          <t xml:space="preserve"> columns; otherwise use the effect provided by the </t>
        </r>
        <r>
          <rPr>
            <b/>
            <sz val="8"/>
            <color indexed="81"/>
            <rFont val="Tahoma"/>
            <family val="2"/>
          </rPr>
          <t>One predictor X1</t>
        </r>
        <r>
          <rPr>
            <sz val="8"/>
            <color indexed="81"/>
            <rFont val="Tahoma"/>
            <family val="2"/>
          </rPr>
          <t xml:space="preserve"> column. Compare this with the overall effect of the treatment in the </t>
        </r>
        <r>
          <rPr>
            <b/>
            <sz val="8"/>
            <color indexed="81"/>
            <rFont val="Tahoma"/>
            <family val="2"/>
          </rPr>
          <t>One predictor X2</t>
        </r>
        <r>
          <rPr>
            <sz val="8"/>
            <color indexed="81"/>
            <rFont val="Tahoma"/>
            <family val="2"/>
          </rPr>
          <t xml:space="preserve"> column, either adjusted for X2 (by putting the mean for X2 in the </t>
        </r>
        <r>
          <rPr>
            <b/>
            <sz val="8"/>
            <color indexed="81"/>
            <rFont val="Tahoma"/>
            <family val="2"/>
          </rPr>
          <t xml:space="preserve">One predictor X2 </t>
        </r>
        <r>
          <rPr>
            <sz val="8"/>
            <color indexed="81"/>
            <rFont val="Tahoma"/>
            <family val="2"/>
          </rPr>
          <t xml:space="preserve">cell) or not adjusted for X2 (by making the </t>
        </r>
        <r>
          <rPr>
            <b/>
            <sz val="8"/>
            <color indexed="81"/>
            <rFont val="Tahoma"/>
            <family val="2"/>
          </rPr>
          <t>One predictor X2</t>
        </r>
        <r>
          <rPr>
            <sz val="8"/>
            <color indexed="81"/>
            <rFont val="Tahoma"/>
            <family val="2"/>
          </rPr>
          <t xml:space="preserve"> cell blank). The difference between the overall effect and the effect independent of X1 is the effect mediated by X1. This is provided by putting the appropriate value in the cell for </t>
        </r>
        <r>
          <rPr>
            <b/>
            <sz val="8"/>
            <color indexed="81"/>
            <rFont val="Tahoma"/>
            <family val="2"/>
          </rPr>
          <t>Effect of delta predictor =</t>
        </r>
        <r>
          <rPr>
            <sz val="8"/>
            <color indexed="81"/>
            <rFont val="Tahoma"/>
            <family val="2"/>
          </rPr>
          <t xml:space="preserve">.  See the comment in that cell.
</t>
        </r>
      </text>
    </comment>
    <comment ref="AG44" authorId="2" shapeId="0">
      <text>
        <r>
          <rPr>
            <sz val="8"/>
            <color indexed="81"/>
            <rFont val="Tahoma"/>
            <family val="2"/>
          </rPr>
          <t>If X2 is a pre-test, this value will be in log-transformed units.</t>
        </r>
      </text>
    </comment>
    <comment ref="E45" authorId="0" shapeId="0">
      <text>
        <r>
          <rPr>
            <sz val="9"/>
            <color indexed="81"/>
            <rFont val="Tahoma"/>
            <family val="2"/>
          </rPr>
          <t>This value is derived from the chosen compatibility level and the number of independent decisions. It is also the rate of Type-2 (false-negative or failed-discovery) errors, in the worst-case scenario of the true effect being the smallest harmful value. Expressed as a p value (e.g., 0.005 instead of 0.5%), it is the threshold value below which the hypothesis of harm is rejected.
Don't use an effect if its chance of harm exceeds this value, and if the chance of benefit exceeds the value in the cell below, the effect "could be" harmful and beneficial, so it is deemd unclear. Equivalently, neither the hypothesis of harm nor the hypothesis of benefit is rejected.</t>
        </r>
      </text>
    </comment>
    <comment ref="AE45" authorId="2" shapeId="0">
      <text>
        <r>
          <rPr>
            <sz val="8"/>
            <color indexed="81"/>
            <rFont val="Tahoma"/>
            <family val="2"/>
          </rPr>
          <t>If X2 is a pre-test, this value will be in log-transformed units.</t>
        </r>
      </text>
    </comment>
    <comment ref="E46" authorId="0" shapeId="0">
      <text>
        <r>
          <rPr>
            <sz val="9"/>
            <color indexed="81"/>
            <rFont val="Tahoma"/>
            <family val="2"/>
          </rPr>
          <t>This value is derived from the chosen compatibility level and the number of independent decisions. It is also the rate of Type-2 (false-negative or failed-discovery) errors, in the worst-case scenario of the true effect being the smallest beneficial value. Expressed as a p value (e.g., 0.25 instead of 25%), it is the threshold value below which the hypothesis of benefit is rejected.
Consider using an effect if its chance of benefit exceeds this value, but if the chance of harm exceeds the value in the cell above, the effect "could be" harmful and beneficial, so it is deemd unclear. Equivalently, neither the hypothesis of benefit nor the hypothesis of harm is rejected.</t>
        </r>
      </text>
    </comment>
    <comment ref="AE46" authorId="2" shapeId="0">
      <text>
        <r>
          <rPr>
            <sz val="8"/>
            <color indexed="81"/>
            <rFont val="Tahoma"/>
            <family val="2"/>
          </rPr>
          <t>If X2 is a pre-test, this value will be in log-transformed units.</t>
        </r>
      </text>
    </comment>
    <comment ref="E47" authorId="0" shapeId="0">
      <text>
        <r>
          <rPr>
            <sz val="9"/>
            <color indexed="81"/>
            <rFont val="Tahoma"/>
            <family val="2"/>
          </rPr>
          <t xml:space="preserve">Regardless of the risk of harm and chance of benefit, deciding to use an effect if the odds ratio exceeds this value is a less conservative approach to making a clinical or practical decision.
Adjusting for multiple inferences makes make this  approach slightly </t>
        </r>
        <r>
          <rPr>
            <i/>
            <sz val="9"/>
            <color indexed="81"/>
            <rFont val="Tahoma"/>
            <family val="2"/>
          </rPr>
          <t>less</t>
        </r>
        <r>
          <rPr>
            <sz val="9"/>
            <color indexed="81"/>
            <rFont val="Tahoma"/>
            <family val="2"/>
          </rPr>
          <t xml:space="preserve"> conservative, so do not use it for multiple inferences.</t>
        </r>
      </text>
    </comment>
    <comment ref="L47" authorId="0" shapeId="0">
      <text>
        <r>
          <rPr>
            <sz val="8"/>
            <color indexed="81"/>
            <rFont val="Tahoma"/>
            <family val="2"/>
          </rPr>
          <t xml:space="preserve">If this cell is blank, the custom effect shown is the usual effect, with or without adjustment, depending on whether you have anything in the </t>
        </r>
        <r>
          <rPr>
            <b/>
            <sz val="8"/>
            <color indexed="81"/>
            <rFont val="Tahoma"/>
            <family val="2"/>
          </rPr>
          <t>Adjusted to predictor =</t>
        </r>
        <r>
          <rPr>
            <sz val="8"/>
            <color indexed="81"/>
            <rFont val="Tahoma"/>
            <family val="2"/>
          </rPr>
          <t xml:space="preserve"> cell. If you put a number in this cell, the custom effect will be the moderating or mediating effect of the predictor, as follows... 
To estimate the moderating effect of the predictor, insert a POSITIVE difference of the predictor. The best value to insert is two SDs of the predictor. Insert 2x the SD shown in the cell above, not simply the number "2". (Why 2SD? It's the only way the magnitude of a linear effect of X expressed as a correlation corresponds to the magnitude expressed as a standardized  difference between two predicted values. For example, using 2SD makes a correlation of 0.10 correspond to a standardized difference of 0.20.) 
If you insert the number 1, you will get the usual slope: the difference in the custom effect per unit of the predictor. It may be appropriate to show the slope in a publication, but you should assess its magnitude via the difference for two SDs.
If you have more than two treatments, calculate the SD of all groups in another spreadsheet and insert it here. If X2 is a combination of pretests included in the custom effect (a measure of "baseline"), make sure you use the same combination of pre-tests when calculating the SD of all groups.
If the predictor is a binary variable coded as 0 and 1 to represent, for example, females and males respectively, put the number "1" in this cell to get the moderating effect of sex: the effect in males minus the effect in females. Note, however, that the estimate is based on the assumption of the same error of measurement for females and males. To allow for different errors, analyze the females and males separately, then compare with the spreadsheet </t>
        </r>
        <r>
          <rPr>
            <b/>
            <sz val="8"/>
            <color indexed="81"/>
            <rFont val="Tahoma"/>
            <family val="2"/>
          </rPr>
          <t>Combine/compare effects</t>
        </r>
        <r>
          <rPr>
            <sz val="8"/>
            <color indexed="81"/>
            <rFont val="Tahoma"/>
            <family val="2"/>
          </rPr>
          <t xml:space="preserve">.
To estimate the </t>
        </r>
        <r>
          <rPr>
            <b/>
            <sz val="8"/>
            <color indexed="81"/>
            <rFont val="Tahoma"/>
            <family val="2"/>
          </rPr>
          <t>mediating</t>
        </r>
        <r>
          <rPr>
            <sz val="8"/>
            <color indexed="81"/>
            <rFont val="Tahoma"/>
            <family val="2"/>
          </rPr>
          <t xml:space="preserve"> or </t>
        </r>
        <r>
          <rPr>
            <b/>
            <sz val="8"/>
            <color indexed="81"/>
            <rFont val="Tahoma"/>
            <family val="2"/>
          </rPr>
          <t>mechanism</t>
        </r>
        <r>
          <rPr>
            <sz val="8"/>
            <color indexed="81"/>
            <rFont val="Tahoma"/>
            <family val="2"/>
          </rPr>
          <t xml:space="preserve"> effect of the predictor (when the predictor is a change score), insert -1 to get the custom effect </t>
        </r>
        <r>
          <rPr>
            <i/>
            <sz val="8"/>
            <color indexed="81"/>
            <rFont val="Tahoma"/>
            <family val="2"/>
          </rPr>
          <t>explained by</t>
        </r>
        <r>
          <rPr>
            <sz val="8"/>
            <color indexed="81"/>
            <rFont val="Tahoma"/>
            <family val="2"/>
          </rPr>
          <t xml:space="preserve"> the predictor: the effect of the change in the predictor in the exptal treatment minus that in the control. (The value -1 is used as a "flag" to compute the custom effect as the predictor's slope*mean in the exptal treatment minus slope*mean in the control.)</t>
        </r>
      </text>
    </comment>
    <comment ref="AC47" authorId="0" shapeId="0">
      <text>
        <r>
          <rPr>
            <sz val="8"/>
            <color indexed="81"/>
            <rFont val="Tahoma"/>
            <family val="2"/>
          </rPr>
          <t xml:space="preserve">If this cell is blank, the custom effect shown is the usual effect, with or without adjustment, depending on whether you have anything in the </t>
        </r>
        <r>
          <rPr>
            <b/>
            <sz val="8"/>
            <color indexed="81"/>
            <rFont val="Tahoma"/>
            <family val="2"/>
          </rPr>
          <t>Adjusted to predictor =</t>
        </r>
        <r>
          <rPr>
            <sz val="8"/>
            <color indexed="81"/>
            <rFont val="Tahoma"/>
            <family val="2"/>
          </rPr>
          <t xml:space="preserve"> cell. If you put a number in this cell, the custom effect will be the moderating or mediating effect of the predictor, as follows... 
To estimate the moderating effect of the predictor, insert a POSITIVE difference of the predictor. The best value to insert is two SDs of the predictor. Insert 2x the SD shown in the cell above, not simply the number "2". (Why 2SD? It's the only way the magnitude of a linear effect of X expressed as a correlation corresponds to the magnitude expressed as a standardized  difference between two predicted values. For example, using 2SD makes a correlation of 0.10 correspond to a standardized difference of 0.20.) 
If you insert the number 1, you will get the usual slope: the difference in the custom effect per unit of the predictor; if the predictor has been log transformed, the slope is in units of %/% (percent per percent). It may be appropriate to show the slope in a publication, but you should assess its magnitude via the difference for two SDs.
If you have more than two treatments, calculate the SD of all groups in another spreadsheet and insert it here. If X2 is a combination of pretests included in the custom effect (a measure of "baseline"), make sure you use the same combination of pre-tests when calculating the SD of all groups.
If the predictor is a binary variable coded as 0 and 1 to represent, for example, females and males respectively, put the number "1" in this cell to get the moderating effect of sex: the effect in males minus the effect in females. Note, however, that the estimate is based on the assumption of the same error of measurement for females and males. To allow for different errors, analyze the females and males separately, then compare with the spreadsheet </t>
        </r>
        <r>
          <rPr>
            <b/>
            <sz val="8"/>
            <color indexed="81"/>
            <rFont val="Tahoma"/>
            <family val="2"/>
          </rPr>
          <t>Combine/compare effects</t>
        </r>
        <r>
          <rPr>
            <sz val="8"/>
            <color indexed="81"/>
            <rFont val="Tahoma"/>
            <family val="2"/>
          </rPr>
          <t xml:space="preserve">.
To estimate the </t>
        </r>
        <r>
          <rPr>
            <b/>
            <sz val="8"/>
            <color indexed="81"/>
            <rFont val="Tahoma"/>
            <family val="2"/>
          </rPr>
          <t>mediating</t>
        </r>
        <r>
          <rPr>
            <sz val="8"/>
            <color indexed="81"/>
            <rFont val="Tahoma"/>
            <family val="2"/>
          </rPr>
          <t xml:space="preserve"> or </t>
        </r>
        <r>
          <rPr>
            <b/>
            <sz val="8"/>
            <color indexed="81"/>
            <rFont val="Tahoma"/>
            <family val="2"/>
          </rPr>
          <t>mechanism</t>
        </r>
        <r>
          <rPr>
            <sz val="8"/>
            <color indexed="81"/>
            <rFont val="Tahoma"/>
            <family val="2"/>
          </rPr>
          <t xml:space="preserve"> effect of the predictor (when the predictor is a change score), insert -1 to get the custom effect </t>
        </r>
        <r>
          <rPr>
            <i/>
            <sz val="8"/>
            <color indexed="81"/>
            <rFont val="Tahoma"/>
            <family val="2"/>
          </rPr>
          <t>explained by</t>
        </r>
        <r>
          <rPr>
            <sz val="8"/>
            <color indexed="81"/>
            <rFont val="Tahoma"/>
            <family val="2"/>
          </rPr>
          <t xml:space="preserve"> the predictor: the effect of the change in the predictor in the exptal treatment minus that in the control. (The value -1 is used as a "flag" to compute the custom effect as the predictor's slope*mean in the exptal treatment minus slope*mean in the control.)</t>
        </r>
      </text>
    </comment>
    <comment ref="E48" authorId="2" shapeId="0">
      <text>
        <r>
          <rPr>
            <sz val="8"/>
            <color indexed="81"/>
            <rFont val="Tahoma"/>
            <family val="2"/>
          </rPr>
          <t>Used to calculate X2 as a baseline or reference covariate from the tests.  Do not modify.</t>
        </r>
      </text>
    </comment>
    <comment ref="V48" authorId="2" shapeId="0">
      <text>
        <r>
          <rPr>
            <sz val="8"/>
            <color indexed="81"/>
            <rFont val="Tahoma"/>
            <family val="2"/>
          </rPr>
          <t>Used to calculate X2 as a baseline or reference covariate from the tests.  Do not modify.</t>
        </r>
      </text>
    </comment>
    <comment ref="E49" authorId="2" shapeId="0">
      <text>
        <r>
          <rPr>
            <sz val="8"/>
            <color indexed="81"/>
            <rFont val="Tahoma"/>
            <family val="2"/>
          </rPr>
          <t>Use these cells  to fit linear or other polynomial trends to your data.  Put the appropriate derived trend in "Custom effect, not adjusted" Column M). For example, to fit a linear trend over the five trials and estimate the linearized change over the five trials, put this formula into the cell for the first subject:
=SLOPE(F54:J54,$F51:$J51)*($J$51-$F$51)
Then copy the cell down for all the subjects, and copy the same formula into the cells for the Exptal treatment.
If your dependent variable needs log transformation. you will have to do the same for the log-transformed data. If you copy the cells you have created from the Custom-effect column for the raw data to the matching column for the log-transformed data, the cells will point to the time values above the raw data.  If you want to play with the time values above the log-transformed data, you will have to make the Custom-effect cells point to those time values.
You may change the time values in this row.  If you have more than five trials, you will have to put appropriate numbers in these cells after you have inserted new columns.</t>
        </r>
      </text>
    </comment>
    <comment ref="O49" authorId="2" shapeId="0">
      <text>
        <r>
          <rPr>
            <sz val="8"/>
            <color indexed="81"/>
            <rFont val="Tahoma"/>
            <family val="2"/>
          </rPr>
          <t>Individual values in these columns are adjusted only for the predictor shown, and the values are used to plot graphs of the effect vs the other predictor.  All other values lower down are adjusted for both predictors or show the effect of delta predictor adjusted for the other predictor.</t>
        </r>
      </text>
    </comment>
    <comment ref="S49" authorId="2" shapeId="0">
      <text>
        <r>
          <rPr>
            <sz val="8"/>
            <color indexed="81"/>
            <rFont val="Tahoma"/>
            <family val="2"/>
          </rPr>
          <t>Use for most kinds of performance and physiological measures, but not for angles, psychometric variables, or variables that are already a percent of something.</t>
        </r>
      </text>
    </comment>
    <comment ref="V49" authorId="2" shapeId="0">
      <text>
        <r>
          <rPr>
            <sz val="8"/>
            <color indexed="81"/>
            <rFont val="Tahoma"/>
            <family val="2"/>
          </rPr>
          <t xml:space="preserve">Use these cells  to fit linear or other polynomial trends to your data.  Put the appropriate derived trend in </t>
        </r>
        <r>
          <rPr>
            <b/>
            <sz val="8"/>
            <color indexed="81"/>
            <rFont val="Tahoma"/>
            <family val="2"/>
          </rPr>
          <t>Custom effect, not adjusted</t>
        </r>
        <r>
          <rPr>
            <sz val="8"/>
            <color indexed="81"/>
            <rFont val="Tahoma"/>
            <family val="2"/>
          </rPr>
          <t xml:space="preserve"> (Column AD). For example, to fit a linear trend over the five trials and estimate the linearized change over the five trials, put this formula into the cell for the first subject:
=SLOPE(W54:AA54,$W51:$AA51)*($AA$51-$W$51)
Then copy the cell down for all the subjects, and copy the same formula into the cells for the Exptal treatment.
You may change the time values in this row.  If you have more than five trials, you will have to put appropriate numbers in these cells after you have inserted new columns.</t>
        </r>
      </text>
    </comment>
    <comment ref="AF49" authorId="2" shapeId="0">
      <text>
        <r>
          <rPr>
            <sz val="8"/>
            <color indexed="81"/>
            <rFont val="Tahoma"/>
            <family val="2"/>
          </rPr>
          <t>Individual values in these columns are adjusted only for the predictor shown, and the values are used to plot graphs of the effect vs the other predictor.  All other values lower down are adjusted for both predictors or show the effect of delta predictor adjusted for the other predictor.</t>
        </r>
      </text>
    </comment>
    <comment ref="E50" authorId="2" shapeId="0">
      <text>
        <r>
          <rPr>
            <sz val="8"/>
            <color indexed="81"/>
            <rFont val="Tahoma"/>
            <family val="2"/>
          </rPr>
          <t xml:space="preserve">Insert appropriate weighting factors. The example shown makes the effect Post1-Pre2. 
You can average trials. For example, Post1 - (Pre1+Pre2)/2 is obtained with:
-0.5  -0.5   1   0  0
The sum of the positive weights must be 1, and the sum of the negative weights must be -1.  If you are averaging three trials, insert =1/3 (or =-1/3) for each of them.
If you are devising your own custom effect, you can choose the (baseline) trial(s) for adjusting with the X2 variable and for standardizing by making the (sum of) the weight(s) equal -1. If the weights are all 0 or blank, you will get #DIV/0! in the X2 column, which means that you want to supply your own values for the X2 variable; for standardizing, you will then need to go to the panel of cells </t>
        </r>
        <r>
          <rPr>
            <b/>
            <sz val="8"/>
            <color indexed="81"/>
            <rFont val="Tahoma"/>
            <family val="2"/>
          </rPr>
          <t>Choose (pre)test SD(s) or insert your own SD for standardizing</t>
        </r>
        <r>
          <rPr>
            <sz val="8"/>
            <color indexed="81"/>
            <rFont val="Tahoma"/>
            <family val="2"/>
          </rPr>
          <t>.</t>
        </r>
      </text>
    </comment>
    <comment ref="K50" authorId="2" shapeId="0">
      <text>
        <r>
          <rPr>
            <sz val="8"/>
            <color indexed="81"/>
            <rFont val="Tahoma"/>
            <family val="2"/>
          </rPr>
          <t xml:space="preserve">For </t>
        </r>
        <r>
          <rPr>
            <i/>
            <sz val="8"/>
            <color indexed="81"/>
            <rFont val="Tahoma"/>
            <family val="2"/>
          </rPr>
          <t>Bad weights,</t>
        </r>
        <r>
          <rPr>
            <sz val="8"/>
            <color indexed="81"/>
            <rFont val="Tahoma"/>
            <family val="2"/>
          </rPr>
          <t xml:space="preserve"> read the comment in the </t>
        </r>
        <r>
          <rPr>
            <b/>
            <sz val="8"/>
            <color indexed="81"/>
            <rFont val="Tahoma"/>
            <family val="2"/>
          </rPr>
          <t>Custom effect:</t>
        </r>
        <r>
          <rPr>
            <sz val="8"/>
            <color indexed="81"/>
            <rFont val="Tahoma"/>
            <family val="2"/>
          </rPr>
          <t xml:space="preserve"> cell.
For</t>
        </r>
        <r>
          <rPr>
            <i/>
            <sz val="8"/>
            <color indexed="81"/>
            <rFont val="Tahoma"/>
            <family val="2"/>
          </rPr>
          <t xml:space="preserve"> Your own custom effect,</t>
        </r>
        <r>
          <rPr>
            <sz val="8"/>
            <color indexed="81"/>
            <rFont val="Tahoma"/>
            <family val="2"/>
          </rPr>
          <t xml:space="preserve"> read the comment in the  cell immediately on the right and the comment in the</t>
        </r>
        <r>
          <rPr>
            <b/>
            <sz val="8"/>
            <color indexed="81"/>
            <rFont val="Tahoma"/>
            <family val="2"/>
          </rPr>
          <t xml:space="preserve"> Custom effect</t>
        </r>
        <r>
          <rPr>
            <sz val="8"/>
            <color indexed="81"/>
            <rFont val="Tahoma"/>
            <family val="2"/>
          </rPr>
          <t>: cell.</t>
        </r>
      </text>
    </comment>
    <comment ref="M50" authorId="2" shapeId="0">
      <text>
        <r>
          <rPr>
            <sz val="8"/>
            <color indexed="81"/>
            <rFont val="Tahoma"/>
            <family val="2"/>
          </rPr>
          <t xml:space="preserve">If you devise your own effect here that does not use the </t>
        </r>
        <r>
          <rPr>
            <b/>
            <sz val="8"/>
            <color indexed="81"/>
            <rFont val="Tahoma"/>
            <family val="2"/>
          </rPr>
          <t>Custom effect</t>
        </r>
        <r>
          <rPr>
            <sz val="8"/>
            <color indexed="81"/>
            <rFont val="Tahoma"/>
            <family val="2"/>
          </rPr>
          <t xml:space="preserve"> cells (e.g., a trend analysis use the SLOPE function), put the effect into the cell immediately below this cell, then copy it down to the other subjects and copy it into the cells for the experimental treatment. The effect will automatically be copied appropriately to the other three effect columns.  If log transformation is appropriare, copy the effect into the corresponding cells for the log-transformed data.
Next, choose the (baseline) trial(s) for adjusting with the X2 variable and for standardizing by making the (sum of) the weight(s) equal -1. If instead you make the weights all 0 or blank, you will get #DIV/0! in the X2 column, which means that you want to supply your own values for the X2 variable. For standardizing, you will then need to go to the panel of cells </t>
        </r>
        <r>
          <rPr>
            <b/>
            <sz val="8"/>
            <color indexed="81"/>
            <rFont val="Tahoma"/>
            <family val="2"/>
          </rPr>
          <t>Choose (pre)test SD(s) or insert your own SD for standardizing.</t>
        </r>
      </text>
    </comment>
    <comment ref="V50" authorId="2" shapeId="0">
      <text>
        <r>
          <rPr>
            <sz val="8"/>
            <color indexed="81"/>
            <rFont val="Tahoma"/>
            <family val="2"/>
          </rPr>
          <t xml:space="preserve">Insert appropriate weighting factors. The example shown makes the effect Post1-Pre2. 
You can average trials. For example, Post1 - (Pre1+Pre2)/2 is obtained with:
-0.5  -0.5   1   0  0
The sum of the positive weights must be 1, and the sum of the negative weights must be -1.  If you are averaging three trials, insert =1/3 (or =-1/3) for each of them.
If you are devising your own custom effect, you can choose the (baseline) trial(s) for adjusting with the X2 variable and for standardizing by making the (sum of) the weight(s) equal -1. If the weights are all 0 or blank, you will get #DIV/0! in the X2 column, which means that you want to supply your own values for the X2 variable; for standardizing, you will then need to go to the panel of cells </t>
        </r>
        <r>
          <rPr>
            <b/>
            <sz val="8"/>
            <color indexed="81"/>
            <rFont val="Tahoma"/>
            <family val="2"/>
          </rPr>
          <t>Choose (pre)test SD(s) or insert your own SD for standardizing</t>
        </r>
        <r>
          <rPr>
            <sz val="8"/>
            <color indexed="81"/>
            <rFont val="Tahoma"/>
            <family val="2"/>
          </rPr>
          <t>.</t>
        </r>
      </text>
    </comment>
    <comment ref="AB50" authorId="2" shapeId="0">
      <text>
        <r>
          <rPr>
            <sz val="8"/>
            <color indexed="81"/>
            <rFont val="Tahoma"/>
            <family val="2"/>
          </rPr>
          <t xml:space="preserve">For </t>
        </r>
        <r>
          <rPr>
            <i/>
            <sz val="8"/>
            <color indexed="81"/>
            <rFont val="Tahoma"/>
            <family val="2"/>
          </rPr>
          <t>Bad weights,</t>
        </r>
        <r>
          <rPr>
            <sz val="8"/>
            <color indexed="81"/>
            <rFont val="Tahoma"/>
            <family val="2"/>
          </rPr>
          <t xml:space="preserve"> read the comment in the </t>
        </r>
        <r>
          <rPr>
            <b/>
            <sz val="8"/>
            <color indexed="81"/>
            <rFont val="Tahoma"/>
            <family val="2"/>
          </rPr>
          <t>Custom effect:</t>
        </r>
        <r>
          <rPr>
            <sz val="8"/>
            <color indexed="81"/>
            <rFont val="Tahoma"/>
            <family val="2"/>
          </rPr>
          <t xml:space="preserve"> cell.
For</t>
        </r>
        <r>
          <rPr>
            <i/>
            <sz val="8"/>
            <color indexed="81"/>
            <rFont val="Tahoma"/>
            <family val="2"/>
          </rPr>
          <t xml:space="preserve"> Your own custom effect,</t>
        </r>
        <r>
          <rPr>
            <sz val="8"/>
            <color indexed="81"/>
            <rFont val="Tahoma"/>
            <family val="2"/>
          </rPr>
          <t xml:space="preserve"> read the comment in the  cell immediately on the right and the comment in the</t>
        </r>
        <r>
          <rPr>
            <b/>
            <sz val="8"/>
            <color indexed="81"/>
            <rFont val="Tahoma"/>
            <family val="2"/>
          </rPr>
          <t xml:space="preserve"> Custom effect</t>
        </r>
        <r>
          <rPr>
            <sz val="8"/>
            <color indexed="81"/>
            <rFont val="Tahoma"/>
            <family val="2"/>
          </rPr>
          <t>: cell.</t>
        </r>
      </text>
    </comment>
    <comment ref="AD50" authorId="2" shapeId="0">
      <text>
        <r>
          <rPr>
            <sz val="8"/>
            <color indexed="81"/>
            <rFont val="Tahoma"/>
            <family val="2"/>
          </rPr>
          <t xml:space="preserve">If you devise your own effect here that does not use the </t>
        </r>
        <r>
          <rPr>
            <b/>
            <sz val="8"/>
            <color indexed="81"/>
            <rFont val="Tahoma"/>
            <family val="2"/>
          </rPr>
          <t>Custom effect</t>
        </r>
        <r>
          <rPr>
            <sz val="8"/>
            <color indexed="81"/>
            <rFont val="Tahoma"/>
            <family val="2"/>
          </rPr>
          <t xml:space="preserve"> cells (e.g., a trend analysis use the SLOPE function), put the effect into the cell immediately below this cell, then copy it down to the other subjects and copy it into the cells for the experimental treatment. The effect will automatically be copied appropriately to the other three effect columns. 
If you have devised your own such effect, and you want to use pretest(s) as a covariate for adjustment and/or for standardization to assess the magnitude of the effect, you can select the pretest(s) by putting appropriate negative values in the appropriate </t>
        </r>
        <r>
          <rPr>
            <b/>
            <sz val="8"/>
            <color indexed="81"/>
            <rFont val="Tahoma"/>
            <family val="2"/>
          </rPr>
          <t>Custom effect</t>
        </r>
        <r>
          <rPr>
            <sz val="8"/>
            <color indexed="81"/>
            <rFont val="Tahoma"/>
            <family val="2"/>
          </rPr>
          <t xml:space="preserve"> cells. To select different pretest(s) or some other SD for standardizing, see the cells </t>
        </r>
        <r>
          <rPr>
            <b/>
            <sz val="8"/>
            <color indexed="81"/>
            <rFont val="Tahoma"/>
            <family val="2"/>
          </rPr>
          <t xml:space="preserve">Choose pretest SD(s) or insert your own SD for standardizing </t>
        </r>
        <r>
          <rPr>
            <sz val="8"/>
            <color indexed="81"/>
            <rFont val="Tahoma"/>
            <family val="2"/>
          </rPr>
          <t>lower down.</t>
        </r>
      </text>
    </comment>
    <comment ref="D51" authorId="0" shapeId="0">
      <text>
        <r>
          <rPr>
            <sz val="8"/>
            <color indexed="81"/>
            <rFont val="Tahoma"/>
            <family val="2"/>
          </rPr>
          <t xml:space="preserve">Copy a subject characteristic into this column to determine the modifying effect of the characteristic on the custom effect.  
You can make the predictor a binary variable coded as 0 and 1 to represent, for example, females and males, although it is better to analyze subgroups separately to allow for different errors and different effects of the other covariate, then compare and possibly combine the effects for the two (or more) groups using the combine/compare effects spreadsheet.
Copy the change score of a variable into this column to determine the mediating effect of the variable (a mechanism analysis): the extent to which the variable explains a change in the dependent variable shown by the custom effect.  The change scores for the predictor and dependent must match. The best way to generate the change scores for such a variable is to make it the dependent variable in another spreadsheet like this one.
The modifying or mediating effects are determned via the cells in the panel </t>
        </r>
        <r>
          <rPr>
            <b/>
            <sz val="8"/>
            <color indexed="81"/>
            <rFont val="Tahoma"/>
            <family val="2"/>
          </rPr>
          <t>Adjusting for, and effects of, one or both predictors</t>
        </r>
        <r>
          <rPr>
            <sz val="8"/>
            <color indexed="81"/>
            <rFont val="Tahoma"/>
            <family val="2"/>
          </rPr>
          <t>.  See the comments in those cells.</t>
        </r>
      </text>
    </comment>
    <comment ref="E51" authorId="2" shapeId="0">
      <text>
        <r>
          <rPr>
            <sz val="8"/>
            <color indexed="81"/>
            <rFont val="Tahoma"/>
            <family val="2"/>
          </rPr>
          <t xml:space="preserve">Values shown in this column by default are the (means of the) values for the treatment(s) with negative weights in the </t>
        </r>
        <r>
          <rPr>
            <b/>
            <sz val="8"/>
            <color indexed="81"/>
            <rFont val="Tahoma"/>
            <family val="2"/>
          </rPr>
          <t>Custom effect</t>
        </r>
        <r>
          <rPr>
            <sz val="8"/>
            <color indexed="81"/>
            <rFont val="Tahoma"/>
            <family val="2"/>
          </rPr>
          <t xml:space="preserve"> cells.  If any of these values are missing, the value for X2 will appear to be blank, but the cell must be fully cleared for the graph of the custom effect vs X2 to display properly (thanks to a bug in Excel).
You may insert values for some other predictor. If you do, it will be copied </t>
        </r>
        <r>
          <rPr>
            <b/>
            <sz val="8"/>
            <color indexed="81"/>
            <rFont val="Tahoma"/>
            <family val="2"/>
          </rPr>
          <t>without log-transformation</t>
        </r>
        <r>
          <rPr>
            <sz val="8"/>
            <color indexed="81"/>
            <rFont val="Tahoma"/>
            <family val="2"/>
          </rPr>
          <t xml:space="preserve"> into the columns of data for analysis of the log-transformed dependent. If it's a predictor that needs log transformation, insert the raw values here and do the log transformation in the matching column for analysis of the log-transformed dependent.
Do not delete this column. 
Do not copy-insert this column to make an extra covariate or treatment. </t>
        </r>
      </text>
    </comment>
    <comment ref="F51" authorId="2" shapeId="0">
      <text>
        <r>
          <rPr>
            <sz val="8"/>
            <color indexed="81"/>
            <rFont val="Tahoma"/>
            <family val="2"/>
          </rPr>
          <t>Do not delete this column. 
Do not copy-insert this column to make extra pretests or time points.  Instead, copy-insert columns on the right.  Assign appropriate labels or time values to the columns.
If you are using log transformation, copy and insert the matching column(s) of log-transformed data.</t>
        </r>
      </text>
    </comment>
    <comment ref="G51" authorId="0" shapeId="0">
      <text>
        <r>
          <rPr>
            <sz val="8"/>
            <color indexed="81"/>
            <rFont val="Tahoma"/>
            <family val="2"/>
          </rPr>
          <t xml:space="preserve">Insert any tests or time points by copying and inserting this entire columnand/or other columns on the right.  Assign appropriate labels or time values to the columns.
You may also highlight and right-click delete entire columns.
If you are using log transformation, copy and insert or delete the matching column(s) of log-transformed data in this spreadsheet and of raw and log data in the </t>
        </r>
        <r>
          <rPr>
            <b/>
            <sz val="8"/>
            <color indexed="81"/>
            <rFont val="Tahoma"/>
            <family val="2"/>
          </rPr>
          <t xml:space="preserve">Time-series deltas </t>
        </r>
        <r>
          <rPr>
            <sz val="8"/>
            <color indexed="81"/>
            <rFont val="Tahoma"/>
            <family val="2"/>
          </rPr>
          <t xml:space="preserve">spreadsheet. You may insert or delete two or more columns in one operation, but do NOT do two insertions or deletions in the raw data, two insertions or deletions in the log data, etc. </t>
        </r>
        <r>
          <rPr>
            <b/>
            <sz val="9"/>
            <color indexed="81"/>
            <rFont val="Tahoma"/>
            <family val="2"/>
          </rPr>
          <t xml:space="preserve"> Complete one cycle of insertions or deletions before you start another cycle.</t>
        </r>
      </text>
    </comment>
    <comment ref="H51" authorId="0" shapeId="0">
      <text>
        <r>
          <rPr>
            <sz val="8"/>
            <color indexed="81"/>
            <rFont val="Tahoma"/>
            <family val="2"/>
          </rPr>
          <t xml:space="preserve">Insert any tests or time points by copying and inserting this entire columnand/or other columns on the right.  Assign appropriate labels or time values to the columns.
You may also highlight and right-click delete entire columns.
If you are using log transformation, copy and insert or delete the matching column(s) of log-transformed data in this spreadsheet and of raw and log data in the </t>
        </r>
        <r>
          <rPr>
            <b/>
            <sz val="8"/>
            <color indexed="81"/>
            <rFont val="Tahoma"/>
            <family val="2"/>
          </rPr>
          <t xml:space="preserve">Time-series deltas </t>
        </r>
        <r>
          <rPr>
            <sz val="8"/>
            <color indexed="81"/>
            <rFont val="Tahoma"/>
            <family val="2"/>
          </rPr>
          <t xml:space="preserve">spreadsheet. You may insert or delete two or more columns in one operation, but do NOT do two insertions or deletions in the raw data, two insertions or deletions in the log data, etc. </t>
        </r>
        <r>
          <rPr>
            <b/>
            <sz val="9"/>
            <color indexed="81"/>
            <rFont val="Tahoma"/>
            <family val="2"/>
          </rPr>
          <t xml:space="preserve"> Complete one cycle of insertions or deletions before you start another cycle.</t>
        </r>
      </text>
    </comment>
    <comment ref="I51" authorId="0" shapeId="0">
      <text>
        <r>
          <rPr>
            <sz val="8"/>
            <color indexed="81"/>
            <rFont val="Tahoma"/>
            <family val="2"/>
          </rPr>
          <t xml:space="preserve">Insert any tests or time points by copying and inserting this entire columnand/or other columns on the right.  Assign appropriate labels or time values to the columns.
You may also highlight and right-click delete entire columns.
If you are using log transformation, copy and insert or delete the matching column(s) of log-transformed data in this spreadsheet and of raw and log data in the </t>
        </r>
        <r>
          <rPr>
            <b/>
            <sz val="8"/>
            <color indexed="81"/>
            <rFont val="Tahoma"/>
            <family val="2"/>
          </rPr>
          <t xml:space="preserve">Time-series deltas </t>
        </r>
        <r>
          <rPr>
            <sz val="8"/>
            <color indexed="81"/>
            <rFont val="Tahoma"/>
            <family val="2"/>
          </rPr>
          <t xml:space="preserve">spreadsheet. You may insert or delete two or more columns in one operation, but do NOT do two insertions or deletions in the raw data, two insertions or deletions in the log data, etc. </t>
        </r>
        <r>
          <rPr>
            <b/>
            <sz val="9"/>
            <color indexed="81"/>
            <rFont val="Tahoma"/>
            <family val="2"/>
          </rPr>
          <t xml:space="preserve"> Complete one cycle of insertions or deletions before you start another cycle.</t>
        </r>
      </text>
    </comment>
    <comment ref="J51" authorId="0" shapeId="0">
      <text>
        <r>
          <rPr>
            <sz val="8"/>
            <color indexed="81"/>
            <rFont val="Tahoma"/>
            <family val="2"/>
          </rPr>
          <t xml:space="preserve">Insert any tests or time points by copying and inserting this entire columnand/or other columns on the left (but not the Pre1 column).  Assign appropriate labels or time values to the columns.
You may also highlight and right-click delete entire columns.
If you are using log transformation, copy and insert or delete the matching column(s) of log-transformed data in this spreadsheet and of raw and log data in the </t>
        </r>
        <r>
          <rPr>
            <b/>
            <sz val="8"/>
            <color indexed="81"/>
            <rFont val="Tahoma"/>
            <family val="2"/>
          </rPr>
          <t xml:space="preserve">Time-series deltas </t>
        </r>
        <r>
          <rPr>
            <sz val="8"/>
            <color indexed="81"/>
            <rFont val="Tahoma"/>
            <family val="2"/>
          </rPr>
          <t xml:space="preserve">spreadsheet. You may insert or delete two or more columns in one operation, but do NOT do two insertions or deletions in the raw data, two insertions or deletions in the log data, etc. </t>
        </r>
        <r>
          <rPr>
            <b/>
            <sz val="9"/>
            <color indexed="81"/>
            <rFont val="Tahoma"/>
            <family val="2"/>
          </rPr>
          <t xml:space="preserve"> Complete one cycle of insertions or deletions before you start another cycle.</t>
        </r>
      </text>
    </comment>
    <comment ref="K51" authorId="2" shapeId="0">
      <text>
        <r>
          <rPr>
            <sz val="8"/>
            <color indexed="81"/>
            <rFont val="Tahoma"/>
            <family val="2"/>
          </rPr>
          <t>Do not add data to this column.  Instead, copy and insert an existing data column to the left of this column.  But do not copy and insert the first data column.</t>
        </r>
      </text>
    </comment>
    <comment ref="U51" authorId="2" shapeId="0">
      <text>
        <r>
          <rPr>
            <sz val="8"/>
            <color indexed="81"/>
            <rFont val="Tahoma"/>
            <family val="2"/>
          </rPr>
          <t>This predictor variable is not currently transformed.</t>
        </r>
      </text>
    </comment>
    <comment ref="V51" authorId="2" shapeId="0">
      <text>
        <r>
          <rPr>
            <sz val="8"/>
            <color indexed="81"/>
            <rFont val="Tahoma"/>
            <family val="2"/>
          </rPr>
          <t xml:space="preserve">Values shown in this column by default are the (means of the) values for the treatment(s) with negative weights in the </t>
        </r>
        <r>
          <rPr>
            <b/>
            <sz val="8"/>
            <color indexed="81"/>
            <rFont val="Tahoma"/>
            <family val="2"/>
          </rPr>
          <t>Custom effect</t>
        </r>
        <r>
          <rPr>
            <sz val="8"/>
            <color indexed="81"/>
            <rFont val="Tahoma"/>
            <family val="2"/>
          </rPr>
          <t xml:space="preserve"> cells.  If any of these values are missing, the value for X2 will appear to be blank, but the cell must be fully cleared for the graph of the custom effect vs X2 to display properly (thanks to a bug in Excel).
You may insert values for some other predictor. If you have inserted the values over in the column for raw data, the values will appear here without log transformation.  If the  predictor needs log transformation, you will have to put the appropriate formula in these cells.
Do not delete this column. 
Do not copy-insert this column to make an extra covariate or treatment. </t>
        </r>
      </text>
    </comment>
    <comment ref="W51" authorId="2" shapeId="0">
      <text>
        <r>
          <rPr>
            <sz val="8"/>
            <color indexed="81"/>
            <rFont val="Tahoma"/>
            <family val="2"/>
          </rPr>
          <t>Do not delete this column. 
Do not copy-insert this column to make extra tests or time points  Instead, copy-insert columns on the right.</t>
        </r>
      </text>
    </comment>
    <comment ref="X51" authorId="0" shapeId="0">
      <text>
        <r>
          <rPr>
            <sz val="8"/>
            <color indexed="81"/>
            <rFont val="Tahoma"/>
            <family val="2"/>
          </rPr>
          <t>If you have inserted or deleted columns of raw data, and you want analysis of log-transformed values, make sure you insert or delete matching columns here and in the raw and log data of the</t>
        </r>
        <r>
          <rPr>
            <b/>
            <sz val="8"/>
            <color indexed="81"/>
            <rFont val="Tahoma"/>
            <family val="2"/>
          </rPr>
          <t>Time-series deltas</t>
        </r>
        <r>
          <rPr>
            <sz val="8"/>
            <color indexed="81"/>
            <rFont val="Tahoma"/>
            <family val="2"/>
          </rPr>
          <t xml:space="preserve"> spreadsheet.</t>
        </r>
      </text>
    </comment>
    <comment ref="Y51" authorId="0" shapeId="0">
      <text>
        <r>
          <rPr>
            <sz val="8"/>
            <color indexed="81"/>
            <rFont val="Tahoma"/>
            <family val="2"/>
          </rPr>
          <t xml:space="preserve">If you have inserted extra columns of raw data, and you want analysis of log-transformed values, make sure you insert columns here in the same places and sequence.
</t>
        </r>
      </text>
    </comment>
    <comment ref="Z51" authorId="0" shapeId="0">
      <text>
        <r>
          <rPr>
            <sz val="8"/>
            <color indexed="81"/>
            <rFont val="Tahoma"/>
            <family val="2"/>
          </rPr>
          <t xml:space="preserve">If you have inserted extra columns of raw data, and you want analysis of log-transformed values, make sure you insert columns here in the same places and sequence.
</t>
        </r>
      </text>
    </comment>
    <comment ref="AA51" authorId="0" shapeId="0">
      <text>
        <r>
          <rPr>
            <sz val="8"/>
            <color indexed="81"/>
            <rFont val="Tahoma"/>
            <family val="2"/>
          </rPr>
          <t xml:space="preserve">If you have inserted extra columns of raw data, and you want analysis of log-transformed values, make sure you insert columns here in the same places and sequence.
</t>
        </r>
      </text>
    </comment>
    <comment ref="L72" authorId="2"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custom effect adjusted or unadjusted for the predictor, depending on whether or not you put a value  in the </t>
        </r>
        <r>
          <rPr>
            <b/>
            <sz val="8"/>
            <color indexed="81"/>
            <rFont val="Tahoma"/>
            <family val="2"/>
          </rPr>
          <t>Adjusted to predictor =</t>
        </r>
        <r>
          <rPr>
            <sz val="8"/>
            <color indexed="81"/>
            <rFont val="Tahoma"/>
            <family val="2"/>
          </rPr>
          <t xml:space="preserve"> cell.</t>
        </r>
      </text>
    </comment>
    <comment ref="AC72" authorId="2"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custom effect adjusted or unadjusted for the predictor, depending on whether or not you put a value  in the </t>
        </r>
        <r>
          <rPr>
            <b/>
            <sz val="8"/>
            <color indexed="81"/>
            <rFont val="Tahoma"/>
            <family val="2"/>
          </rPr>
          <t>Adjusted to predictor =</t>
        </r>
        <r>
          <rPr>
            <sz val="8"/>
            <color indexed="81"/>
            <rFont val="Tahoma"/>
            <family val="2"/>
          </rPr>
          <t xml:space="preserve"> cell.</t>
        </r>
      </text>
    </comment>
    <comment ref="L73"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AC73"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L76" authorId="0"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change adjusted or unadjusted for the predictor, depending on whether or not you put a value  in the </t>
        </r>
        <r>
          <rPr>
            <b/>
            <sz val="8"/>
            <color indexed="81"/>
            <rFont val="Tahoma"/>
            <family val="2"/>
          </rPr>
          <t xml:space="preserve">Adjusted to predictor = </t>
        </r>
        <r>
          <rPr>
            <sz val="8"/>
            <color indexed="81"/>
            <rFont val="Tahoma"/>
            <family val="2"/>
          </rPr>
          <t>cell.</t>
        </r>
      </text>
    </comment>
    <comment ref="AC76" authorId="2"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change adjusted or unadjusted for the predictor, depending on whether or not you put a value  in the </t>
        </r>
        <r>
          <rPr>
            <b/>
            <sz val="8"/>
            <color indexed="81"/>
            <rFont val="Tahoma"/>
            <family val="2"/>
          </rPr>
          <t>Adjusted to predictor =</t>
        </r>
        <r>
          <rPr>
            <sz val="8"/>
            <color indexed="81"/>
            <rFont val="Tahoma"/>
            <family val="2"/>
          </rPr>
          <t xml:space="preserve"> cell.</t>
        </r>
      </text>
    </comment>
    <comment ref="L77"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T77" authorId="1" shapeId="0">
      <text>
        <r>
          <rPr>
            <sz val="9"/>
            <color indexed="81"/>
            <rFont val="Tahoma"/>
            <family val="2"/>
          </rPr>
          <t>Values for the back-transformed mean and SD of X1 (the first predictor) will be provided only if you have log-transformed the predictor.</t>
        </r>
      </text>
    </comment>
    <comment ref="AC77"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AC78" authorId="2" shapeId="0">
      <text>
        <r>
          <rPr>
            <sz val="8"/>
            <color indexed="81"/>
            <rFont val="Tahoma"/>
            <family val="2"/>
          </rPr>
          <t xml:space="preserve">If you inserted a value in the </t>
        </r>
        <r>
          <rPr>
            <b/>
            <sz val="8"/>
            <color indexed="81"/>
            <rFont val="Tahoma"/>
            <family val="2"/>
          </rPr>
          <t xml:space="preserve">Effect of delta predictor = </t>
        </r>
        <r>
          <rPr>
            <sz val="8"/>
            <color indexed="81"/>
            <rFont val="Tahoma"/>
            <family val="2"/>
          </rPr>
          <t xml:space="preserve">cell, the values shown here are the predicted effect of the difference in the predictor.  Otherwise the values are the mean change adjusted or unadjusted for the predictor, depending on whether or not you put a value  in the </t>
        </r>
        <r>
          <rPr>
            <b/>
            <sz val="8"/>
            <color indexed="81"/>
            <rFont val="Tahoma"/>
            <family val="2"/>
          </rPr>
          <t>Adjusted to predictor =</t>
        </r>
        <r>
          <rPr>
            <sz val="8"/>
            <color indexed="81"/>
            <rFont val="Tahoma"/>
            <family val="2"/>
          </rPr>
          <t xml:space="preserve"> cell.</t>
        </r>
      </text>
    </comment>
    <comment ref="AC79"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AC80" authorId="0"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change adjusted or unadjusted for the predictor, depending on whether or not you put a value  in the </t>
        </r>
        <r>
          <rPr>
            <b/>
            <sz val="8"/>
            <color indexed="81"/>
            <rFont val="Tahoma"/>
            <family val="2"/>
          </rPr>
          <t xml:space="preserve">Adjusted to predictor = </t>
        </r>
        <r>
          <rPr>
            <sz val="8"/>
            <color indexed="81"/>
            <rFont val="Tahoma"/>
            <family val="2"/>
          </rPr>
          <t>cell.</t>
        </r>
      </text>
    </comment>
    <comment ref="AC81"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O83" authorId="2" shapeId="0">
      <text>
        <r>
          <rPr>
            <sz val="8"/>
            <color indexed="81"/>
            <rFont val="Tahoma"/>
            <family val="2"/>
          </rPr>
          <t>Individual values in these columns are adjusted only for the predictor shown, and the values are used to plot graphs of the effect vs the other predictor.  All other values lower down are adjusted for both predictors or show the effect of delta predictor adjusted for the other predictor.</t>
        </r>
      </text>
    </comment>
    <comment ref="AF83" authorId="2" shapeId="0">
      <text>
        <r>
          <rPr>
            <sz val="8"/>
            <color indexed="81"/>
            <rFont val="Tahoma"/>
            <family val="2"/>
          </rPr>
          <t>Individual values in these columns are adjusted only for the predictor shown, and the values are used to plot graphs of the effect vs the other predictor.  All other values lower down are adjusted for both predictors or show the effect of delta predictor adjusted for the other predictor.</t>
        </r>
      </text>
    </comment>
    <comment ref="L105" authorId="2"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custom effect adjusted or unadjusted for the predictor, depending on whether or not you put a value  in the </t>
        </r>
        <r>
          <rPr>
            <b/>
            <sz val="8"/>
            <color indexed="81"/>
            <rFont val="Tahoma"/>
            <family val="2"/>
          </rPr>
          <t>Adjusted to predictor =</t>
        </r>
        <r>
          <rPr>
            <sz val="8"/>
            <color indexed="81"/>
            <rFont val="Tahoma"/>
            <family val="2"/>
          </rPr>
          <t xml:space="preserve"> cell.</t>
        </r>
      </text>
    </comment>
    <comment ref="AC105" authorId="2"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custom effect adjusted or unadjusted for the predictor, depending on whether or not you put a value  in the </t>
        </r>
        <r>
          <rPr>
            <b/>
            <sz val="8"/>
            <color indexed="81"/>
            <rFont val="Tahoma"/>
            <family val="2"/>
          </rPr>
          <t>Adjusted to predictor =</t>
        </r>
        <r>
          <rPr>
            <sz val="8"/>
            <color indexed="81"/>
            <rFont val="Tahoma"/>
            <family val="2"/>
          </rPr>
          <t xml:space="preserve"> cell.</t>
        </r>
      </text>
    </comment>
    <comment ref="L106"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AC106"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L109" authorId="0"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change adjusted or unadjusted for the predictor, depending on whether or not you put a value  in the </t>
        </r>
        <r>
          <rPr>
            <b/>
            <sz val="8"/>
            <color indexed="81"/>
            <rFont val="Tahoma"/>
            <family val="2"/>
          </rPr>
          <t xml:space="preserve">Adjusted to predictor = </t>
        </r>
        <r>
          <rPr>
            <sz val="8"/>
            <color indexed="81"/>
            <rFont val="Tahoma"/>
            <family val="2"/>
          </rPr>
          <t>cell.</t>
        </r>
      </text>
    </comment>
    <comment ref="AC109" authorId="2"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change adjusted or unadjusted for the predictor, depending on whether or not you put a value  in the </t>
        </r>
        <r>
          <rPr>
            <b/>
            <sz val="8"/>
            <color indexed="81"/>
            <rFont val="Tahoma"/>
            <family val="2"/>
          </rPr>
          <t>Adjusted to predictor =</t>
        </r>
        <r>
          <rPr>
            <sz val="8"/>
            <color indexed="81"/>
            <rFont val="Tahoma"/>
            <family val="2"/>
          </rPr>
          <t xml:space="preserve"> cell.</t>
        </r>
      </text>
    </comment>
    <comment ref="L110"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T110" authorId="1" shapeId="0">
      <text>
        <r>
          <rPr>
            <sz val="9"/>
            <color indexed="81"/>
            <rFont val="Tahoma"/>
            <family val="2"/>
          </rPr>
          <t>Values for the back-transformed mean and SD of X1 (the first predictor) will be provided only if you have log-transformed the predictor.</t>
        </r>
      </text>
    </comment>
    <comment ref="AC110"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AC111" authorId="2" shapeId="0">
      <text>
        <r>
          <rPr>
            <sz val="8"/>
            <color indexed="81"/>
            <rFont val="Tahoma"/>
            <family val="2"/>
          </rPr>
          <t xml:space="preserve">If you inserted a value in the </t>
        </r>
        <r>
          <rPr>
            <b/>
            <sz val="8"/>
            <color indexed="81"/>
            <rFont val="Tahoma"/>
            <family val="2"/>
          </rPr>
          <t xml:space="preserve">Effect of delta predictor = </t>
        </r>
        <r>
          <rPr>
            <sz val="8"/>
            <color indexed="81"/>
            <rFont val="Tahoma"/>
            <family val="2"/>
          </rPr>
          <t xml:space="preserve">cell, the values shown here are the predicted effect of the difference in the predictor.  Otherwise the values are the mean change adjusted or unadjusted for the predictor, depending on whether or not you put a value  in the </t>
        </r>
        <r>
          <rPr>
            <b/>
            <sz val="8"/>
            <color indexed="81"/>
            <rFont val="Tahoma"/>
            <family val="2"/>
          </rPr>
          <t>Adjusted to predictor =</t>
        </r>
        <r>
          <rPr>
            <sz val="8"/>
            <color indexed="81"/>
            <rFont val="Tahoma"/>
            <family val="2"/>
          </rPr>
          <t xml:space="preserve"> cell.</t>
        </r>
      </text>
    </comment>
    <comment ref="AC112"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AC113" authorId="0"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change adjusted or unadjusted for the predictor, depending on whether or not you put a value  in the </t>
        </r>
        <r>
          <rPr>
            <b/>
            <sz val="8"/>
            <color indexed="81"/>
            <rFont val="Tahoma"/>
            <family val="2"/>
          </rPr>
          <t xml:space="preserve">Adjusted to predictor = </t>
        </r>
        <r>
          <rPr>
            <sz val="8"/>
            <color indexed="81"/>
            <rFont val="Tahoma"/>
            <family val="2"/>
          </rPr>
          <t>cell.</t>
        </r>
      </text>
    </comment>
    <comment ref="AC114"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C120" authorId="1" shapeId="0">
      <text>
        <r>
          <rPr>
            <sz val="9"/>
            <color indexed="81"/>
            <rFont val="Tahoma"/>
            <family val="2"/>
          </rPr>
          <t>This formula was derived empirically from simulaitons. It accounts for the correlation between the treatment values and underestimates the DF slightly when the correlation is ~0.5 (when DF are ~1.5*sample size).</t>
        </r>
      </text>
    </comment>
    <comment ref="T120" authorId="1" shapeId="0">
      <text>
        <r>
          <rPr>
            <sz val="9"/>
            <color indexed="81"/>
            <rFont val="Tahoma"/>
            <family val="2"/>
          </rPr>
          <t>This formula was derived empirically from simulaitons. It accounts for the correlation between the treatment values and underestimates the DF slightly when the correlation is ~0.5 (when DF are ~1.5*sample size).</t>
        </r>
      </text>
    </comment>
    <comment ref="T121" authorId="1" shapeId="0">
      <text>
        <r>
          <rPr>
            <sz val="9"/>
            <color indexed="81"/>
            <rFont val="Tahoma"/>
            <family val="2"/>
          </rPr>
          <t>Values for the back-transformed mean and SD of X1 (the first predictor) will be provided only if you have log-transformed the predictor.</t>
        </r>
      </text>
    </comment>
    <comment ref="E126" authorId="0" shapeId="0">
      <text>
        <r>
          <rPr>
            <sz val="8"/>
            <color indexed="81"/>
            <rFont val="Tahoma"/>
            <family val="2"/>
          </rPr>
          <t>A "1" is automatically placed in the cells on the right corresponding to the  test(s) with negative weights in the</t>
        </r>
        <r>
          <rPr>
            <b/>
            <sz val="8"/>
            <color indexed="81"/>
            <rFont val="Tahoma"/>
            <family val="2"/>
          </rPr>
          <t xml:space="preserve"> Custom effect </t>
        </r>
        <r>
          <rPr>
            <sz val="8"/>
            <color indexed="81"/>
            <rFont val="Tahoma"/>
            <family val="2"/>
          </rPr>
          <t>cells.   The (pre)test SDs are averaged and used to calculate standardized effects.</t>
        </r>
      </text>
    </comment>
    <comment ref="V126" authorId="0" shapeId="0">
      <text>
        <r>
          <rPr>
            <sz val="8"/>
            <color indexed="81"/>
            <rFont val="Tahoma"/>
            <family val="2"/>
          </rPr>
          <t>A "1" is automatically placed in the cells on the right corresponding to the  test(s) with negative weights in the</t>
        </r>
        <r>
          <rPr>
            <b/>
            <sz val="8"/>
            <color indexed="81"/>
            <rFont val="Tahoma"/>
            <family val="2"/>
          </rPr>
          <t xml:space="preserve"> Custom effect </t>
        </r>
        <r>
          <rPr>
            <sz val="8"/>
            <color indexed="81"/>
            <rFont val="Tahoma"/>
            <family val="2"/>
          </rPr>
          <t>cells.   The (pre)test SDs are averaged and used to calculate standardized effects.</t>
        </r>
      </text>
    </comment>
    <comment ref="E127" authorId="2" shapeId="0">
      <text>
        <r>
          <rPr>
            <sz val="8"/>
            <color indexed="81"/>
            <rFont val="Tahoma"/>
            <family val="2"/>
          </rPr>
          <t xml:space="preserve">Place "1" in cell(s) to choose the test(s).
You will want to use this option to select the most appropriate (pre)test(s) when the custom effect does not involve the (pre)tests. </t>
        </r>
      </text>
    </comment>
    <comment ref="V127" authorId="2" shapeId="0">
      <text>
        <r>
          <rPr>
            <sz val="8"/>
            <color indexed="81"/>
            <rFont val="Tahoma"/>
            <family val="2"/>
          </rPr>
          <t xml:space="preserve">Place "1" in cell(s) to choose the test(s).
You will want to use this option to select the most appropriate (pre)test(s) when the custom effect does not involve the (pre)tests. </t>
        </r>
      </text>
    </comment>
    <comment ref="E129" authorId="0" shapeId="0">
      <text>
        <r>
          <rPr>
            <sz val="8"/>
            <color indexed="81"/>
            <rFont val="Tahoma"/>
            <family val="2"/>
          </rPr>
          <t>The mean SD of the pretests indicated by "1"s in the above row.  The mean is obtained by averaging the variances and taking the square root.  Show this value in any publication as the SD used for standardizing.</t>
        </r>
      </text>
    </comment>
    <comment ref="V129" authorId="2" shapeId="0">
      <text>
        <r>
          <rPr>
            <sz val="8"/>
            <color indexed="81"/>
            <rFont val="Tahoma"/>
            <family val="2"/>
          </rPr>
          <t>If you have already inserted values for the raw SD and its matching mean, the SD shown here is log-transformed with the formula 100*ln(1+SD/Mean).
If you have calculated a log-transformed value yourself (e.g., from data for three or more groups), insert the value and its sample size here by overwriting the formulae in these cells.</t>
        </r>
      </text>
    </comment>
    <comment ref="E130" authorId="2" shapeId="0">
      <text>
        <r>
          <rPr>
            <sz val="8"/>
            <color indexed="81"/>
            <rFont val="Tahoma"/>
            <family val="2"/>
          </rPr>
          <t xml:space="preserve">Insert a value in this cell if you want to use standardization to assess magnitude, but your sample is not representative of some population of interest.
You should also insert a value here if you have more than two groups. Use a separate spreadsheet to calculate the SD for the appopriate pretest(s) of all the groups combined.
For analysis via log transformation, insert a value for </t>
        </r>
        <r>
          <rPr>
            <b/>
            <sz val="8"/>
            <color indexed="81"/>
            <rFont val="Tahoma"/>
            <family val="2"/>
          </rPr>
          <t>its matching mean</t>
        </r>
        <r>
          <rPr>
            <sz val="8"/>
            <color indexed="81"/>
            <rFont val="Tahoma"/>
            <family val="2"/>
          </rPr>
          <t xml:space="preserve"> to allow this SD to be log-transformed with the formula 100*ln(1+SD/Mean). Or you can insert the SD for the log-transformed values on the right, if you have them.</t>
        </r>
      </text>
    </comment>
    <comment ref="V131" authorId="0" shapeId="0">
      <text>
        <r>
          <rPr>
            <sz val="8"/>
            <color indexed="81"/>
            <rFont val="Tahoma"/>
            <family val="2"/>
          </rPr>
          <t>The mean SD of the pretests indicated by "1"s in the above row.  The mean is obtained by averaging the variances and taking the square root.  Show this value in any publication as the SD used for standardizing.</t>
        </r>
      </text>
    </comment>
    <comment ref="E132" authorId="2" shapeId="0">
      <text>
        <r>
          <rPr>
            <sz val="8"/>
            <color indexed="81"/>
            <rFont val="Tahoma"/>
            <family val="2"/>
          </rPr>
          <t>Insert a value only if the dependent variable needs log-transformation and you do not have the SD of the log-transformed pre-test(s)</t>
        </r>
      </text>
    </comment>
    <comment ref="E133" authorId="0" shapeId="0">
      <text>
        <r>
          <rPr>
            <sz val="9"/>
            <color indexed="81"/>
            <rFont val="Tahoma"/>
            <family val="2"/>
          </rPr>
          <t>This is the value used in the calculation of the standardized effects.  It is the SD above divided by (1-3/(4v-1)) to remove the small-sample bias in the estimates of standardized effects.  v is the degrees of freedom for the SD.</t>
        </r>
      </text>
    </comment>
    <comment ref="V133" authorId="0" shapeId="0">
      <text>
        <r>
          <rPr>
            <sz val="9"/>
            <color indexed="81"/>
            <rFont val="Tahoma"/>
            <family val="2"/>
          </rPr>
          <t>This is the value used in the calculation of the standardized effects.  It is the SD above divided by (1-3/(4v-1)) to remove the small-sample bias in the estimates of standardized effects.  v is the degrees of freedom for the SD.</t>
        </r>
      </text>
    </comment>
    <comment ref="E135" authorId="0" shapeId="0">
      <text>
        <r>
          <rPr>
            <sz val="9"/>
            <color indexed="81"/>
            <rFont val="Tahoma"/>
            <family val="2"/>
          </rPr>
          <t>This is the value used in the calculation of magnitude thresholds for the ratio of the SD.</t>
        </r>
      </text>
    </comment>
    <comment ref="V135" authorId="0" shapeId="0">
      <text>
        <r>
          <rPr>
            <sz val="9"/>
            <color indexed="81"/>
            <rFont val="Tahoma"/>
            <family val="2"/>
          </rPr>
          <t>This is the value used in the calculation of magnitude thresholds for the ratio of the SD.</t>
        </r>
      </text>
    </comment>
    <comment ref="B144" authorId="2" shapeId="0">
      <text>
        <r>
          <rPr>
            <sz val="8"/>
            <color indexed="81"/>
            <rFont val="Tahoma"/>
            <family val="2"/>
          </rPr>
          <t xml:space="preserve">Use these cells to assess the balance of assignment to the groups. Interpret the magnitude of the observed difference. Compatibility limits and MBD chances are not provided. Why?  Because an inference simply does not make sense, when you know that the subjects come from the same population. 
What is important is the </t>
        </r>
        <r>
          <rPr>
            <i/>
            <sz val="8"/>
            <color indexed="81"/>
            <rFont val="Tahoma"/>
            <family val="2"/>
          </rPr>
          <t xml:space="preserve">actual observed </t>
        </r>
        <r>
          <rPr>
            <sz val="8"/>
            <color indexed="81"/>
            <rFont val="Tahoma"/>
            <family val="2"/>
          </rPr>
          <t xml:space="preserve">difference in the means: the bigger the difference, the more you should be worried about adjusting for the difference. Even when there is only a trivial difference in the means, you might still want to estimate the extent to which the covariate modifies the effect of the treatment, therby explaining some individual responses and improving the precision of the mean effect (reducing the width of the confidence interval). However, this spreadsheet allows you to investigate only one covariate at a time (apart from the baseline of the dependent).  So if there is only a trivial difference in the means of a given covariate, adjusting for it is unlikely to make a substantial difference to the mean effect of the treatment. It might make a difference to the confidence interval for the mean effect, if the covariate accounts for individual responses.  Try it out to see. If including the covariate makes no substantial difference to the mean effect and does not improve the precision, you can justify leaving it out of the analysis and thereby allowing you to investigate another covariate.
If the subjects in the two groups come from different populations, and you really are interested in making a decision about how different the populations are, use the spreadsheet </t>
        </r>
        <r>
          <rPr>
            <b/>
            <sz val="8"/>
            <color indexed="81"/>
            <rFont val="Tahoma"/>
            <family val="2"/>
          </rPr>
          <t>Compare 2 or 3 group means</t>
        </r>
        <r>
          <rPr>
            <sz val="8"/>
            <color indexed="81"/>
            <rFont val="Tahoma"/>
            <family val="2"/>
          </rPr>
          <t>.</t>
        </r>
      </text>
    </comment>
    <comment ref="S144" authorId="2" shapeId="0">
      <text>
        <r>
          <rPr>
            <sz val="8"/>
            <color indexed="81"/>
            <rFont val="Tahoma"/>
            <family val="2"/>
          </rPr>
          <t xml:space="preserve">Use these cells to assess the balance of assignment to the groups. Interpret the magnitude of the observed difference. Compatibility limits and MBD chances are not provided. Why?  Because an inference simply does not make sense, when you know that the subjects come from the same population. 
What is important is the </t>
        </r>
        <r>
          <rPr>
            <i/>
            <sz val="8"/>
            <color indexed="81"/>
            <rFont val="Tahoma"/>
            <family val="2"/>
          </rPr>
          <t xml:space="preserve">actual observed </t>
        </r>
        <r>
          <rPr>
            <sz val="8"/>
            <color indexed="81"/>
            <rFont val="Tahoma"/>
            <family val="2"/>
          </rPr>
          <t xml:space="preserve">difference in the means: the bigger the difference, the more you should be worried about adjusting for the difference. Even when there is only a trivial difference in the means, you might still want to estimate the extent to which the covariate modifies the effect of the treatment, therby explaining some individual responses and improving the precision of the mean effect (reducing the width of the confidence interval). However, this spreadsheet allows you to investigate only one covariate at a time (apart from the baseline of the dependent).  So if there is only a trivial difference in the means of a given covariate, adjusting for it is unlikely to make a substantial difference to the mean effect of the treatment. It might make a difference to the confidence interval for the mean effect, if the covariate accounts for individual responses.  Try it out to see. If including the covariate makes no substantial difference to the mean effect and does not improve the precision, you can justify leaving it out of the analysis and thereby allowing you to investigate another covariate.
If the subjects in the two groups come from different populations, and you really are interested in making a decision about how different the populations are, use the spreadsheet </t>
        </r>
        <r>
          <rPr>
            <b/>
            <sz val="8"/>
            <color indexed="81"/>
            <rFont val="Tahoma"/>
            <family val="2"/>
          </rPr>
          <t>Compare 2 or 3 group means</t>
        </r>
        <r>
          <rPr>
            <sz val="8"/>
            <color indexed="81"/>
            <rFont val="Tahoma"/>
            <family val="2"/>
          </rPr>
          <t>.</t>
        </r>
      </text>
    </comment>
    <comment ref="K153" authorId="0" shapeId="0">
      <text>
        <r>
          <rPr>
            <sz val="8"/>
            <color indexed="81"/>
            <rFont val="Tahoma"/>
            <family val="2"/>
          </rPr>
          <t>The qualitative probabilities are defined by the following scale:
&lt;0.5%, most unlikely, almost certainly not
&lt;5%, very unlikely
&lt;25%, unlikely, probably not
25-75%, possibly, possibly not
&gt;75%, likely, probably
&gt;95%, very likely
&gt;99.5%, most likely, almost certainly</t>
        </r>
      </text>
    </comment>
    <comment ref="AB153" authorId="0" shapeId="0">
      <text>
        <r>
          <rPr>
            <sz val="8"/>
            <color indexed="81"/>
            <rFont val="Tahoma"/>
            <family val="2"/>
          </rPr>
          <t>The qualitative probabilities are defined by the following scale:
&lt;0.5%, most unlikely, almost certainly not
&lt;5%, very unlikely
&lt;25%, unlikely, probably not
25-75%, possibly, possibly not
&gt;75%, likely, probably
&gt;95%, very likely
&gt;99.5%, most likely, almost certainly</t>
        </r>
      </text>
    </comment>
    <comment ref="B164" authorId="0" shapeId="0">
      <text>
        <r>
          <rPr>
            <sz val="8"/>
            <color indexed="81"/>
            <rFont val="Tahoma"/>
            <family val="2"/>
          </rPr>
          <t>You would not normally bother to compare the between-subject SDs at baseline or in post-tests. A positive value of the SD here indicates a larger standard deviation in the exptal treatment; a negative value indicates the opposite. The thresholds for the magnitude of the SD are half those for comparison of differences or changes in means.</t>
        </r>
      </text>
    </comment>
    <comment ref="L164" authorId="2" shapeId="0">
      <text>
        <r>
          <rPr>
            <sz val="9"/>
            <color indexed="81"/>
            <rFont val="Tahoma"/>
            <family val="2"/>
          </rPr>
          <t xml:space="preserve">This SD is a measure of the extent to which the SD of the custom effect for the experimental treatment is greater than that for the control treatment, and it represents individual responses (individual differences in the response) to the experimental intervention. A negative value indicates a greater SD for the control treatment, either because of sampling variation or because the intervention has reduced the between-subject differences in the custom effect through a ceiling or homogenizing effect.
The smallest important and other magnitude thresholds for this (and any other SD) are half those for mean effects, because to properly assess the magnitude of the "effect" represented by an SD, you need to evaluate the difference between the mean + SD and the mean - SD: 2SD, in other words.
A full magnitude-based inference is shown in a panel at the bottom of this spreadsheet, but you can see whether the SD is clear here by simply assessing the coverage of its confidence interval. You usually need a  large sample size or large individual responses for the SD to be clear.
See also the comment in the cell </t>
        </r>
        <r>
          <rPr>
            <b/>
            <sz val="9"/>
            <color indexed="81"/>
            <rFont val="Tahoma"/>
            <family val="2"/>
          </rPr>
          <t>Hover cursor for instructions on individual responses</t>
        </r>
        <r>
          <rPr>
            <sz val="9"/>
            <color indexed="81"/>
            <rFont val="Tahoma"/>
            <family val="2"/>
          </rPr>
          <t xml:space="preserve"> at the top left of the spreadsheet.</t>
        </r>
      </text>
    </comment>
    <comment ref="S164" authorId="0" shapeId="0">
      <text>
        <r>
          <rPr>
            <sz val="8"/>
            <color indexed="81"/>
            <rFont val="Tahoma"/>
            <family val="2"/>
          </rPr>
          <t xml:space="preserve">You would not normally bother to compare the between-subject SDs at baseline or in post-tests. A positive value of the SD here indicates a larger standard deviation in the exptal treatment; a negative value indicates the opposite. The thresholds for the magnitude of the SD are half those for comparison of differences or changes in means. </t>
        </r>
      </text>
    </comment>
    <comment ref="AC164" authorId="2" shapeId="0">
      <text>
        <r>
          <rPr>
            <sz val="9"/>
            <color indexed="81"/>
            <rFont val="Tahoma"/>
            <family val="2"/>
          </rPr>
          <t xml:space="preserve">This SD is a measure of the extent to which the SD of the custom effect for the experimental treatment is greater than that for the control treatment, and it represents individual responses (individual differences in the response) to the experimental intervention. A negative value indicates a greater SD for the control treatment, either because of sampling variation or because the intervention has reduced the between-subject differences in the custom effect through a ceiling or homogenizing effect.
The smallest important and other magnitude thresholds for this (and any other SD) are half those for mean effects, because to properly assess the magnitude of the "effect" represented by an SD, you need to evaluate the difference between the mean + SD and the mean - SD: 2SD, in other words.
A full magnitude-based inference is shown in a panel at the bottom of this spreadsheet, but you can see whether the SD is clear here by simply assessing the coverage of its confidence interval. You usually need a  large sample size or large individual responses for the SD to be clear.
See also the comment in the cell </t>
        </r>
        <r>
          <rPr>
            <b/>
            <sz val="9"/>
            <color indexed="81"/>
            <rFont val="Tahoma"/>
            <family val="2"/>
          </rPr>
          <t>Hover cursor for instructions on individual responses</t>
        </r>
        <r>
          <rPr>
            <sz val="9"/>
            <color indexed="81"/>
            <rFont val="Tahoma"/>
            <family val="2"/>
          </rPr>
          <t xml:space="preserve"> at the top left of the spreadsheet.</t>
        </r>
      </text>
    </comment>
    <comment ref="S170" authorId="2" shapeId="0">
      <text>
        <r>
          <rPr>
            <sz val="8"/>
            <color indexed="81"/>
            <rFont val="Tahoma"/>
            <family val="2"/>
          </rPr>
          <t xml:space="preserve">Use these cells to assess the balance of assignment to the groups. Interpret the magnitude of the observed difference. Compatibility limits and MBD chances are not provided. Why?  Because an inference simply does not make sense, when you know that the subjects come from the same population. 
What is important is the </t>
        </r>
        <r>
          <rPr>
            <i/>
            <sz val="8"/>
            <color indexed="81"/>
            <rFont val="Tahoma"/>
            <family val="2"/>
          </rPr>
          <t xml:space="preserve">actual observed </t>
        </r>
        <r>
          <rPr>
            <sz val="8"/>
            <color indexed="81"/>
            <rFont val="Tahoma"/>
            <family val="2"/>
          </rPr>
          <t xml:space="preserve">difference in the means: the bigger the difference, the more you should be worried about adjusting for the difference. Even when there is only a trivial difference in the means, you might still want to estimate the extent to which the covariate modifies the effect of the treatment, therby explaining some individual responses and improving the precision of the mean effect (reducing the width of the confidence interval). However, this spreadsheet allows you to investigate only one covariate at a time (apart from the baseline of the dependent).  So if there is only a trivial difference in the means of a given covariate, adjusting for it is unlikely to make a substantial difference to the mean effect of the treatment. It might make a difference to the confidence interval for the mean effect, if the covariate accounts for individual responses.  Try it out to see. If including the covariate makes no substantial difference to the mean effect and does not improve the precision, you can justify leaving it out of the analysis and thereby allowing you to investigate another covariate.
If the subjects in the two groups come from different populations, and you really are interested in making a decision about how different the populations are, use the spreadsheet </t>
        </r>
        <r>
          <rPr>
            <b/>
            <sz val="8"/>
            <color indexed="81"/>
            <rFont val="Tahoma"/>
            <family val="2"/>
          </rPr>
          <t>Compare 2 or 3 group means</t>
        </r>
        <r>
          <rPr>
            <sz val="8"/>
            <color indexed="81"/>
            <rFont val="Tahoma"/>
            <family val="2"/>
          </rPr>
          <t>.</t>
        </r>
      </text>
    </comment>
    <comment ref="AB179" authorId="0" shapeId="0">
      <text>
        <r>
          <rPr>
            <sz val="8"/>
            <color indexed="81"/>
            <rFont val="Tahoma"/>
            <family val="2"/>
          </rPr>
          <t>The qualitative probabilities are defined by the following scale:
&lt;0.5%, most unlikely, almost certainly not
&lt;5%, very unlikely
&lt;25%, unlikely, probably not
25-75%, possibly, possibly not
&gt;75%, likely, probably
&gt;95%, very likely
&gt;99.5%, most likely, almost certainly</t>
        </r>
      </text>
    </comment>
    <comment ref="S190" authorId="0" shapeId="0">
      <text>
        <r>
          <rPr>
            <sz val="8"/>
            <color indexed="81"/>
            <rFont val="Tahoma"/>
            <family val="2"/>
          </rPr>
          <t xml:space="preserve">You would not normally bother to compare the between-subject SDs at baseline or in post-tests. A positive value of the SD here indicates a larger standard deviation in the exptal treatment; a negative value indicates the opposite. The thresholds for the magnitude of the SD are half those for comparison of differences or changes in means. </t>
        </r>
      </text>
    </comment>
    <comment ref="AC190" authorId="2" shapeId="0">
      <text>
        <r>
          <rPr>
            <sz val="9"/>
            <color indexed="81"/>
            <rFont val="Tahoma"/>
            <family val="2"/>
          </rPr>
          <t xml:space="preserve">This SD is a measure of the extent to which the SD of the custom effect for the experimental treatment is greater than that for the control treatment, and it represents individual responses (individual differences in the response) to the experimental intervention. A negative value indicates a greater SD for the control treatment, either because of sampling variation or because the intervention has reduced the between-subject differences in the custom effect through a ceiling or homogenizing effect.
The smallest important and other magnitude thresholds for this (and any other SD) are half those for mean effects, because to properly assess the magnitude of the "effect" represented by an SD, you need to evaluate the difference between the mean + SD and the mean - SD: 2SD, in other words.
A full magnitude-based inference is shown in a panel at the bottom of this spreadsheet, but you can see whether the SD is clear here by simply assessing the coverage of its confidence interval. You usually need a  large sample size or large individual responses for the SD to be clear.
See also the comment in the cell </t>
        </r>
        <r>
          <rPr>
            <b/>
            <sz val="9"/>
            <color indexed="81"/>
            <rFont val="Tahoma"/>
            <family val="2"/>
          </rPr>
          <t>Hover cursor for instructions on individual responses</t>
        </r>
        <r>
          <rPr>
            <sz val="9"/>
            <color indexed="81"/>
            <rFont val="Tahoma"/>
            <family val="2"/>
          </rPr>
          <t xml:space="preserve"> at the top left of the spreadsheet.</t>
        </r>
      </text>
    </comment>
    <comment ref="B196" authorId="2" shapeId="0">
      <text>
        <r>
          <rPr>
            <sz val="8"/>
            <color indexed="81"/>
            <rFont val="Tahoma"/>
            <family val="2"/>
          </rPr>
          <t xml:space="preserve">Use these cells to assess the balance of assignment to the groups. Interpret the magnitude of the observed difference. Compatibility limits and MBD chances are not provided. Why?  Because an inference simply does not make sense, when you know that the subjects come from the same population. 
What is important is the </t>
        </r>
        <r>
          <rPr>
            <i/>
            <sz val="8"/>
            <color indexed="81"/>
            <rFont val="Tahoma"/>
            <family val="2"/>
          </rPr>
          <t xml:space="preserve">actual observed </t>
        </r>
        <r>
          <rPr>
            <sz val="8"/>
            <color indexed="81"/>
            <rFont val="Tahoma"/>
            <family val="2"/>
          </rPr>
          <t xml:space="preserve">difference in the means: the bigger the difference, the more you should be worried about adjusting for the difference. Even when there is only a trivial difference in the means, you might still want to estimate the extent to which the covariate modifies the effect of the treatment, therby explaining some individual responses and improving the precision of the mean effect (reducing the width of the confidence interval). However, this spreadsheet allows you to investigate only one covariate at a time (apart from the baseline of the dependent).  So if there is only a trivial difference in the means of a given covariate, adjusting for it is unlikely to make a substantial difference to the mean effect of the treatment. It might make a difference to the confidence interval for the mean effect, if the covariate accounts for individual responses.  Try it out to see. If including the covariate makes no substantial difference to the mean effect and does not improve the precision, you can justify leaving it out of the analysis and thereby allowing you to investigate another covariate.
If the subjects in the two groups come from different populations, and you really are interested in making a decision about how different the populations are, use the spreadsheet </t>
        </r>
        <r>
          <rPr>
            <b/>
            <sz val="8"/>
            <color indexed="81"/>
            <rFont val="Tahoma"/>
            <family val="2"/>
          </rPr>
          <t>Compare 2 or 3 group means</t>
        </r>
        <r>
          <rPr>
            <sz val="8"/>
            <color indexed="81"/>
            <rFont val="Tahoma"/>
            <family val="2"/>
          </rPr>
          <t>.</t>
        </r>
      </text>
    </comment>
    <comment ref="S196" authorId="2" shapeId="0">
      <text>
        <r>
          <rPr>
            <sz val="8"/>
            <color indexed="81"/>
            <rFont val="Tahoma"/>
            <family val="2"/>
          </rPr>
          <t xml:space="preserve">Use these cells to assess the balance of assignment to the groups. Interpret the magnitude of the observed difference. Compatibility limits and MBD chances are not provided. Why?  Because an inference simply does not make sense, when you know that the subjects come from the same population. 
What is important is the </t>
        </r>
        <r>
          <rPr>
            <i/>
            <sz val="8"/>
            <color indexed="81"/>
            <rFont val="Tahoma"/>
            <family val="2"/>
          </rPr>
          <t xml:space="preserve">actual observed </t>
        </r>
        <r>
          <rPr>
            <sz val="8"/>
            <color indexed="81"/>
            <rFont val="Tahoma"/>
            <family val="2"/>
          </rPr>
          <t xml:space="preserve">difference in the means: the bigger the difference, the more you should be worried about adjusting for the difference. Even when there is only a trivial difference in the means, you might still want to estimate the extent to which the covariate modifies the effect of the treatment, therby explaining some individual responses and improving the precision of the mean effect (reducing the width of the confidence interval). However, this spreadsheet allows you to investigate only one covariate at a time (apart from the baseline of the dependent).  So if there is only a trivial difference in the means of a given covariate, adjusting for it is unlikely to make a substantial difference to the mean effect of the treatment. It might make a difference to the confidence interval for the mean effect, if the covariate accounts for individual responses.  Try it out to see. If including the covariate makes no substantial difference to the mean effect and does not improve the precision, you can justify leaving it out of the analysis and thereby allowing you to investigate another covariate.
If the subjects in the two groups come from different populations, and you really are interested in making a decision about how different the populations are, use the spreadsheet </t>
        </r>
        <r>
          <rPr>
            <b/>
            <sz val="8"/>
            <color indexed="81"/>
            <rFont val="Tahoma"/>
            <family val="2"/>
          </rPr>
          <t>Compare 2 or 3 group means</t>
        </r>
        <r>
          <rPr>
            <sz val="8"/>
            <color indexed="81"/>
            <rFont val="Tahoma"/>
            <family val="2"/>
          </rPr>
          <t>.</t>
        </r>
      </text>
    </comment>
    <comment ref="K205" authorId="0" shapeId="0">
      <text>
        <r>
          <rPr>
            <sz val="8"/>
            <color indexed="81"/>
            <rFont val="Tahoma"/>
            <family val="2"/>
          </rPr>
          <t>The qualitative probabilities are defined by the following scale:
&lt;0.5%, most unlikely, almost certainly not
&lt;5%, very unlikely
&lt;25%, unlikely, probably not
25-75%, possibly, possibly not
&gt;75%, likely, probably
&gt;95%, very likely
&gt;99.5%, most likely, almost certainly</t>
        </r>
      </text>
    </comment>
    <comment ref="AB205" authorId="0" shapeId="0">
      <text>
        <r>
          <rPr>
            <sz val="8"/>
            <color indexed="81"/>
            <rFont val="Tahoma"/>
            <family val="2"/>
          </rPr>
          <t>The qualitative probabilities are defined by the following scale:
&lt;0.5%, most unlikely, almost certainly not
&lt;5%, very unlikely
&lt;25%, unlikely, probably not
25-75%, possibly, possibly not
&gt;75%, likely, probably
&gt;95%, very likely
&gt;99.5%, most likely, almost certainly</t>
        </r>
      </text>
    </comment>
    <comment ref="C215" authorId="2" shapeId="0">
      <text>
        <r>
          <rPr>
            <sz val="8"/>
            <color indexed="81"/>
            <rFont val="Tahoma"/>
            <family val="2"/>
          </rPr>
          <t>This SD is the degrees-of-freedom-weighted mean of the SDs of the two groups, which is a reasonable SD for standardizing the difference in means of the groups in a controlled trial. (The harmonic mean is better when the groups come from different populations, as done in the spreadsheet</t>
        </r>
        <r>
          <rPr>
            <b/>
            <sz val="8"/>
            <color indexed="81"/>
            <rFont val="Tahoma"/>
            <family val="2"/>
          </rPr>
          <t xml:space="preserve"> Compare 2 or 3 group means</t>
        </r>
        <r>
          <rPr>
            <sz val="8"/>
            <color indexed="81"/>
            <rFont val="Tahoma"/>
            <family val="2"/>
          </rPr>
          <t>.) It is multiplied by the factor 1/(1-3/(4v-1)) to remove the small-sample bias in the estimates of standardized effects, where v is the degrees of freedom.</t>
        </r>
      </text>
    </comment>
    <comment ref="L215" authorId="2" shapeId="0">
      <text>
        <r>
          <rPr>
            <sz val="8"/>
            <color indexed="81"/>
            <rFont val="Tahoma"/>
            <family val="2"/>
          </rPr>
          <t>The mean SD of the pretests chosen for Cohenizing magnitudes.  The mean is obtained by averaging the variances and taking the square root.  It is multiplied by the factor 1/(1-3/(4v-1)) to remove the small-sample bias in the estimatess of standardized effects. Don't show this adjusted value in a publication.  This SD is reproduced here to reduce problems when columns or tables are copied.</t>
        </r>
      </text>
    </comment>
    <comment ref="T215" authorId="2" shapeId="0">
      <text>
        <r>
          <rPr>
            <sz val="8"/>
            <color indexed="81"/>
            <rFont val="Tahoma"/>
            <family val="2"/>
          </rPr>
          <t>This SD is the degrees-of-freedom-weighted mean of the SDs of the two groups, which is a reasonable SD for standardizing the difference in means of the groups in a controlled trial. (The harmonic mean is better when the groups come from different populations, as done in the spreadsheet</t>
        </r>
        <r>
          <rPr>
            <b/>
            <sz val="8"/>
            <color indexed="81"/>
            <rFont val="Tahoma"/>
            <family val="2"/>
          </rPr>
          <t xml:space="preserve"> Compare 2 or 3 group means</t>
        </r>
        <r>
          <rPr>
            <sz val="8"/>
            <color indexed="81"/>
            <rFont val="Tahoma"/>
            <family val="2"/>
          </rPr>
          <t>.) It is multiplied by the factor 1/(1-3/(4v-1)) to remove the small-sample bias in the estimates of standardized effects, where v is the degrees of freedom.</t>
        </r>
      </text>
    </comment>
    <comment ref="AC215" authorId="2" shapeId="0">
      <text>
        <r>
          <rPr>
            <sz val="8"/>
            <color indexed="81"/>
            <rFont val="Tahoma"/>
            <family val="2"/>
          </rPr>
          <t>The mean SD of the pretests chosen for Cohenizing magnitudes.  The mean is obtained by averaging the variances and taking the square root.  It is multiplied by the factor 1/(1-3/(4v-1)) to remove the small-sample bias in the estimatess of standardized effects. Don't show this adjusted value in a publication.  This SD is reproduced here to reduce problems when columns or tables are copied.</t>
        </r>
      </text>
    </comment>
    <comment ref="C216" authorId="0" shapeId="0">
      <text>
        <r>
          <rPr>
            <sz val="8"/>
            <color indexed="81"/>
            <rFont val="Tahoma"/>
            <family val="2"/>
          </rPr>
          <t xml:space="preserve">You would not normally bother to compare the between-subject SDs at baseline or in post-tests. A positive value of the SD here indicates a larger standard deviation in the exptal treatment; a negative value indicates the opposite. The thresholds for the magnitude of the SD are half those for comparison of differences or changes in means. </t>
        </r>
      </text>
    </comment>
    <comment ref="L216" authorId="2" shapeId="0">
      <text>
        <r>
          <rPr>
            <sz val="9"/>
            <color indexed="81"/>
            <rFont val="Tahoma"/>
            <family val="2"/>
          </rPr>
          <t xml:space="preserve">This SD is a measure of the extent to which the SD of the custom effect for the experimental treatment is greater than that for the control treatment, and it represents individual responses (individual differences in the response) to the experimental intervention. A negative value indicates a greater SD for the control treatment, either because of sampling variation or because the intervention has reduced the between-subject differences in the custom effect through a ceiling or homogenizing effect.
The smallest important and other magnitude thresholds for this (and any other SD) are half those for mean effects, because to properly assess the magnitude of the "effect" represented by an SD, you need to evaluate the difference between the mean + SD and the mean - SD: 2SD, in other words. So the usual standardized thresholds of 0.2, 0.6, 1.2, 2.0 and 4.0 become 0.1, 0.3, 0.6, 1.0 and 2.0 for small, moderate, large, very large and extremely large individual responses.
A full magnitude-based inference is shown in a panel at the bottom of this spreadsheet, but you can see whether the SD is clear here by simply assessing the coverage of its confidence interval. You usually need a  large sample size or large individual responses for the SD to be clear.
See also the comment in the cell </t>
        </r>
        <r>
          <rPr>
            <b/>
            <sz val="9"/>
            <color indexed="81"/>
            <rFont val="Tahoma"/>
            <family val="2"/>
          </rPr>
          <t>Hover cursor for instructions on individual responses</t>
        </r>
        <r>
          <rPr>
            <sz val="9"/>
            <color indexed="81"/>
            <rFont val="Tahoma"/>
            <family val="2"/>
          </rPr>
          <t xml:space="preserve"> at the top left of the spreadsheet.</t>
        </r>
      </text>
    </comment>
    <comment ref="T216" authorId="0" shapeId="0">
      <text>
        <r>
          <rPr>
            <sz val="8"/>
            <color indexed="81"/>
            <rFont val="Tahoma"/>
            <family val="2"/>
          </rPr>
          <t xml:space="preserve">You would not normally bother to compare the between-subject SDs at baseline or in post-tests. A positive value of the SD here indicates a larger standard deviation in the exptal treatment; a negative value indicates the opposite. The thresholds for the magnitude of the SD are half those for comparison of differences or changes in means. </t>
        </r>
      </text>
    </comment>
    <comment ref="AC216" authorId="2" shapeId="0">
      <text>
        <r>
          <rPr>
            <sz val="9"/>
            <color indexed="81"/>
            <rFont val="Tahoma"/>
            <family val="2"/>
          </rPr>
          <t xml:space="preserve">This SD is a measure of the extent to which the SD of the custom effect for the experimental treatment is greater than that for the control treatment, and it represents individual responses (individual differences in the response) to the experimental intervention. A negative value indicates a greater SD for the control treatment, either because of sampling variation or because the intervention has reduced the between-subject differences in the custom effect through a ceiling or homogenizing effect.
The smallest important and other magnitude thresholds for this (and any other SD) are half those for mean effects, because to properly assess the magnitude of the "effect" represented by an SD, you need to evaluate the difference between the mean + SD and the mean - SD: 2SD, in other words. So the usual standardized thresholds of 0.2, 0.6, 1.2, 2.0 and 4.0 become 0.1, 0.3, 0.6, 1.0 and 2.0 for small, moderate, large, very large and extremely large individual responses.
A full magnitude-based inference is shown in a panel at the bottom of this spreadsheet, but you can see whether the SD is clear here by simply assessing the coverage of its confidence interval. You usually need a  large sample size or large individual responses for the SD to be clear.
See also the comment in the cell </t>
        </r>
        <r>
          <rPr>
            <b/>
            <sz val="9"/>
            <color indexed="81"/>
            <rFont val="Tahoma"/>
            <family val="2"/>
          </rPr>
          <t>Hover cursor for instructions on individual responses</t>
        </r>
        <r>
          <rPr>
            <sz val="9"/>
            <color indexed="81"/>
            <rFont val="Tahoma"/>
            <family val="2"/>
          </rPr>
          <t xml:space="preserve"> at the top left of the spreadsheet.</t>
        </r>
      </text>
    </comment>
    <comment ref="K221" authorId="2" shapeId="0">
      <text>
        <r>
          <rPr>
            <sz val="8"/>
            <color indexed="81"/>
            <rFont val="Tahoma"/>
            <family val="2"/>
          </rPr>
          <t xml:space="preserve">This panel is provided for full probabilistic inferences about the SD representing individual responses shown in the above panels. 
See also the comment in the cell </t>
        </r>
        <r>
          <rPr>
            <b/>
            <sz val="8"/>
            <color indexed="81"/>
            <rFont val="Tahoma"/>
            <family val="2"/>
          </rPr>
          <t>Hover cursor for instructions on individual responses and changes</t>
        </r>
        <r>
          <rPr>
            <sz val="8"/>
            <color indexed="81"/>
            <rFont val="Tahoma"/>
            <family val="2"/>
          </rPr>
          <t xml:space="preserve"> at the top left of the spreadsheet.</t>
        </r>
      </text>
    </comment>
    <comment ref="AB221" authorId="2" shapeId="0">
      <text>
        <r>
          <rPr>
            <sz val="8"/>
            <color indexed="81"/>
            <rFont val="Tahoma"/>
            <family val="2"/>
          </rPr>
          <t xml:space="preserve">This panel is provided for full probabilistic inferences about the SD representing individual responses shown in the above panels. 
See also the comment in the cell </t>
        </r>
        <r>
          <rPr>
            <b/>
            <sz val="8"/>
            <color indexed="81"/>
            <rFont val="Tahoma"/>
            <family val="2"/>
          </rPr>
          <t>Hover cursor for instructions on individual responses and changes</t>
        </r>
        <r>
          <rPr>
            <sz val="8"/>
            <color indexed="81"/>
            <rFont val="Tahoma"/>
            <family val="2"/>
          </rPr>
          <t xml:space="preserve"> at the top left of the spreadsheet.</t>
        </r>
      </text>
    </comment>
    <comment ref="K229" authorId="0" shapeId="0">
      <text>
        <r>
          <rPr>
            <sz val="8"/>
            <color indexed="81"/>
            <rFont val="Tahoma"/>
            <family val="2"/>
          </rPr>
          <t>The qualitative probabilities are defined by the following scale:
&lt;0.5%, almost certainly not
&lt;5%, very unlikely
&lt;25%, unlikely, probably not
25-75%, possibly, possibly not
&gt;75%, likely, probably
&gt;95%, very likely
&gt;99.5
%, almost certainly</t>
        </r>
      </text>
    </comment>
    <comment ref="AB229" authorId="0" shapeId="0">
      <text>
        <r>
          <rPr>
            <sz val="8"/>
            <color indexed="81"/>
            <rFont val="Tahoma"/>
            <family val="2"/>
          </rPr>
          <t>The qualitative probabilities are defined by the following scale:
&lt;0.5%, almost certainly not
&lt;5%, very unlikely
&lt;25%, unlikely, probably not
25-75%, possibly, possibly not
&gt;75%, likely, probably
&gt;95%, very likely
&gt;99.5
%, almost certainly</t>
        </r>
      </text>
    </comment>
    <comment ref="K240" authorId="2" shapeId="0">
      <text>
        <r>
          <rPr>
            <sz val="8"/>
            <color indexed="81"/>
            <rFont val="Tahoma"/>
            <family val="2"/>
          </rPr>
          <t>Here the SD of the effect has been converted to a typical error of measurement by dividing by root 2.  Use this statistic (and its confidence limits) to compare with estimates of typical error from comparable reliability studies.</t>
        </r>
      </text>
    </comment>
    <comment ref="AB240" authorId="2" shapeId="0">
      <text>
        <r>
          <rPr>
            <sz val="8"/>
            <color indexed="81"/>
            <rFont val="Tahoma"/>
            <family val="2"/>
          </rPr>
          <t>Here the SD of the effect has been converted to a typical error of measurement by dividing by root 2.  Use this statistic (and its confidence limits) to compare with estimates of typical error from comparable reliability studies.</t>
        </r>
      </text>
    </comment>
    <comment ref="AC252" authorId="2" shapeId="0">
      <text>
        <r>
          <rPr>
            <sz val="8"/>
            <color indexed="81"/>
            <rFont val="Tahoma"/>
            <family val="2"/>
          </rPr>
          <t>The uncertainty factor here is correct, but it gives a misleading impression that the estimate of the SD is precise.</t>
        </r>
      </text>
    </comment>
    <comment ref="AB263" authorId="2" shapeId="0">
      <text>
        <r>
          <rPr>
            <sz val="8"/>
            <color indexed="81"/>
            <rFont val="Tahoma"/>
            <family val="2"/>
          </rPr>
          <t>This table is used to get parts of  the other tables.  Don't modify it or take values from it directly.</t>
        </r>
      </text>
    </comment>
    <comment ref="AB270" authorId="0" shapeId="0">
      <text>
        <r>
          <rPr>
            <sz val="8"/>
            <color indexed="81"/>
            <rFont val="Tahoma"/>
            <family val="2"/>
          </rPr>
          <t>The value shown is the Cohen threshold.  in transformed units. Don't change it here.</t>
        </r>
      </text>
    </comment>
  </commentList>
</comments>
</file>

<file path=xl/comments2.xml><?xml version="1.0" encoding="utf-8"?>
<comments xmlns="http://schemas.openxmlformats.org/spreadsheetml/2006/main">
  <authors>
    <author>Will Hopkins</author>
    <author>Reviewer</author>
  </authors>
  <commentList>
    <comment ref="E44" authorId="0" shapeId="0">
      <text>
        <r>
          <rPr>
            <sz val="8"/>
            <color indexed="81"/>
            <rFont val="Tahoma"/>
            <family val="2"/>
          </rPr>
          <t>These values are used for the X-axis of the time-series scatterplots of the deltas.</t>
        </r>
      </text>
    </comment>
    <comment ref="R44" authorId="0" shapeId="0">
      <text>
        <r>
          <rPr>
            <sz val="8"/>
            <color indexed="81"/>
            <rFont val="Tahoma"/>
            <family val="2"/>
          </rPr>
          <t>These values are used for the X-axis of the time-series scatterplots of the deltas.</t>
        </r>
      </text>
    </comment>
    <comment ref="E45" authorId="0" shapeId="0">
      <text>
        <r>
          <rPr>
            <sz val="8"/>
            <color indexed="81"/>
            <rFont val="Tahoma"/>
            <family val="2"/>
          </rPr>
          <t>Negative weights are copied here from Sheet1.  The negative weights must add to -1. The deltas shown are the values for each time point minus the weighted mean of the value(s) of the time point(s) with negative weights.  The time point(s) with negative weights are assigned deltas of zero.</t>
        </r>
      </text>
    </comment>
    <comment ref="R45" authorId="0" shapeId="0">
      <text>
        <r>
          <rPr>
            <sz val="8"/>
            <color indexed="81"/>
            <rFont val="Tahoma"/>
            <family val="2"/>
          </rPr>
          <t>Negative weights are copied here from Sheet1.  The negative weights must add to -1. The deltas shown are the values for each time point minus the weighted mean of the value(s) of the time point(s) with negative weights.  The time point(s) with negative weights are assigned deltas of zero.</t>
        </r>
      </text>
    </comment>
    <comment ref="D46" authorId="1" shapeId="0">
      <text>
        <r>
          <rPr>
            <sz val="8"/>
            <color indexed="81"/>
            <rFont val="Tahoma"/>
            <family val="2"/>
          </rPr>
          <t xml:space="preserve">Copy a subject characteristic into this column to determine the modifying effect of the characteristic on the custom effect.  
You can make the predictor a binary variable coded as 0 and 1 to represent, for example, females and males, although it is better to analyze subgroups separately to allow for different errors and different effects of the other covariate, then compare and possibly combine the effects for the two (or more) groups using the combine/compare effects spreadsheet.
Copy the change score of a variable into this column to determine the mediating effect of the variable (a mechanism analysis): the extent to which the variable explains a change in the dependent variable shown by the custom effect.  The change scores for the predictor and dependent must match. The best way to generate the change scores for such a variable is to make it the dependent variable in another spreadsheet like this one.
The modifying or mediating effects are determned via the cells in the panel </t>
        </r>
        <r>
          <rPr>
            <b/>
            <sz val="8"/>
            <color indexed="81"/>
            <rFont val="Tahoma"/>
            <family val="2"/>
          </rPr>
          <t>Adjusting for, and effects of, one or both predictors</t>
        </r>
        <r>
          <rPr>
            <sz val="8"/>
            <color indexed="81"/>
            <rFont val="Tahoma"/>
            <family val="2"/>
          </rPr>
          <t>.  See the comments in those cells.</t>
        </r>
      </text>
    </comment>
    <comment ref="E46" authorId="0" shapeId="0">
      <text>
        <r>
          <rPr>
            <sz val="8"/>
            <color indexed="81"/>
            <rFont val="Tahoma"/>
            <family val="2"/>
          </rPr>
          <t xml:space="preserve">Values shown in this column by default are the values for the pretest(s) chosen to standardize effects.  If you have missing values for pretests contributing to the standardizing, the value for X2 will appear to be blank, but the cell must be fully cleared for the graph of the custom effect vs X2 to display properly (thanks to a bug in Excel).
You may insert values for some other predictor.
Do not delete this column. 
Do not copy-insert this column to make an extra covariate or treatment. </t>
        </r>
      </text>
    </comment>
    <comment ref="F46" authorId="0" shapeId="0">
      <text>
        <r>
          <rPr>
            <sz val="8"/>
            <color indexed="81"/>
            <rFont val="Tahoma"/>
            <family val="2"/>
          </rPr>
          <t>Do not delete this column. 
Do not copy-insert this column to make extra pretests or time points.  Instead, copy-insert the next pretest column.  Assign appropriate labels or time values to the columns.
If you are using log transformation, copy and insert the matching column(s) of log-transformed data.</t>
        </r>
      </text>
    </comment>
    <comment ref="G46" authorId="1" shapeId="0">
      <text>
        <r>
          <rPr>
            <sz val="8"/>
            <color indexed="81"/>
            <rFont val="Tahoma"/>
            <family val="2"/>
          </rPr>
          <t>Insert more pretests or time points by copying and inserting this column.  Assign appropriate labels or time values to the columns.
If you are using log transformation, copy and insert the matching column(s) of log-transformed data.</t>
        </r>
      </text>
    </comment>
    <comment ref="H46" authorId="1" shapeId="0">
      <text>
        <r>
          <rPr>
            <sz val="8"/>
            <color indexed="81"/>
            <rFont val="Tahoma"/>
            <family val="2"/>
          </rPr>
          <t>Insert more pretests or time points by copying and inserting this column.  Assign appropriate labels or time values to the columns.
If you are using log transformation, copy and insert the matching column(s) of log-transformed data.</t>
        </r>
      </text>
    </comment>
    <comment ref="I46" authorId="1" shapeId="0">
      <text>
        <r>
          <rPr>
            <sz val="8"/>
            <color indexed="81"/>
            <rFont val="Tahoma"/>
            <family val="2"/>
          </rPr>
          <t>Insert more pretests or time points by copying and inserting this column.  Assign appropriate labels or time values to the columns.
If you are using log transformation, copy and insert the matching column(s) of log-transformed data.</t>
        </r>
      </text>
    </comment>
    <comment ref="J46" authorId="1" shapeId="0">
      <text>
        <r>
          <rPr>
            <sz val="8"/>
            <color indexed="81"/>
            <rFont val="Tahoma"/>
            <family val="2"/>
          </rPr>
          <t>Insert more pretests or time points by copying and inserting this column.  Assign appropriate labels or time values to the columns.
If you are using log transformation, copy and insert the matching column(s) of log-transformed data.</t>
        </r>
      </text>
    </comment>
    <comment ref="K46" authorId="0" shapeId="0">
      <text>
        <r>
          <rPr>
            <sz val="8"/>
            <color indexed="81"/>
            <rFont val="Tahoma"/>
            <family val="2"/>
          </rPr>
          <t>Do not add data to this column.  Instead, copy and insert an existing data column to the left of this column.  But do not copy and insert the first data column.</t>
        </r>
      </text>
    </comment>
    <comment ref="Q46" authorId="0" shapeId="0">
      <text>
        <r>
          <rPr>
            <sz val="8"/>
            <color indexed="81"/>
            <rFont val="Tahoma"/>
            <family val="2"/>
          </rPr>
          <t>This predictor variable is not currently transformed.</t>
        </r>
      </text>
    </comment>
    <comment ref="R46" authorId="0" shapeId="0">
      <text>
        <r>
          <rPr>
            <sz val="8"/>
            <color indexed="81"/>
            <rFont val="Tahoma"/>
            <family val="2"/>
          </rPr>
          <t xml:space="preserve">Values shown in this column by default are the values for the pretest(s) chosen to standardize effects.  If you have missing values for pretests contributing to the standardizing, the value for X2 will appear to be blank, but the cell must be fully cleared for the graph of the custom effect vs X2 to display properly (thanks to a bug in Excel).
You may insert values for some other predictor.
Do not delete this column. 
Do not copy-insert this column to make an extra covariate or treatment. </t>
        </r>
      </text>
    </comment>
    <comment ref="S46" authorId="0" shapeId="0">
      <text>
        <r>
          <rPr>
            <sz val="8"/>
            <color indexed="81"/>
            <rFont val="Tahoma"/>
            <family val="2"/>
          </rPr>
          <t>Do not delete this column. 
Do not copy-insert this column to make extra pretests or time points  Instead, copy-insert columns on the right.</t>
        </r>
      </text>
    </comment>
    <comment ref="T46" authorId="1" shapeId="0">
      <text>
        <r>
          <rPr>
            <sz val="8"/>
            <color indexed="81"/>
            <rFont val="Tahoma"/>
            <family val="2"/>
          </rPr>
          <t xml:space="preserve">If you have inserted extra columns of raw data, and you want analysis of log-transformed values, make sure you insert columns here in the same places and sequence.
</t>
        </r>
      </text>
    </comment>
    <comment ref="U46" authorId="1" shapeId="0">
      <text>
        <r>
          <rPr>
            <sz val="8"/>
            <color indexed="81"/>
            <rFont val="Tahoma"/>
            <family val="2"/>
          </rPr>
          <t xml:space="preserve">If you have inserted extra columns of raw data, and you want analysis of log-transformed values, make sure you insert columns here in the same places and sequence.
</t>
        </r>
      </text>
    </comment>
    <comment ref="V46" authorId="1" shapeId="0">
      <text>
        <r>
          <rPr>
            <sz val="8"/>
            <color indexed="81"/>
            <rFont val="Tahoma"/>
            <family val="2"/>
          </rPr>
          <t xml:space="preserve">If you have inserted extra columns of raw data, and you want analysis of log-transformed values, make sure you insert columns here in the same places and sequence.
</t>
        </r>
      </text>
    </comment>
    <comment ref="W46" authorId="1" shapeId="0">
      <text>
        <r>
          <rPr>
            <sz val="8"/>
            <color indexed="81"/>
            <rFont val="Tahoma"/>
            <family val="2"/>
          </rPr>
          <t xml:space="preserve">If you have inserted extra columns of raw data, and you want analysis of log-transformed values, make sure you insert columns here in the same places and sequence.
</t>
        </r>
      </text>
    </comment>
  </commentList>
</comments>
</file>

<file path=xl/sharedStrings.xml><?xml version="1.0" encoding="utf-8"?>
<sst xmlns="http://schemas.openxmlformats.org/spreadsheetml/2006/main" count="580" uniqueCount="252">
  <si>
    <t>Name</t>
  </si>
  <si>
    <t>mean</t>
  </si>
  <si>
    <t>SD</t>
  </si>
  <si>
    <t>Raw Data</t>
  </si>
  <si>
    <t>Log-transformed Data</t>
  </si>
  <si>
    <t>back-transformed mean</t>
  </si>
  <si>
    <t>SD as a CV (%)</t>
  </si>
  <si>
    <r>
      <t xml:space="preserve">SD as </t>
    </r>
    <r>
      <rPr>
        <sz val="10"/>
        <rFont val="Symbol"/>
        <family val="1"/>
        <charset val="2"/>
      </rPr>
      <t>´¤¸</t>
    </r>
    <r>
      <rPr>
        <sz val="10"/>
        <rFont val="Arial"/>
        <family val="2"/>
      </rPr>
      <t xml:space="preserve"> factor</t>
    </r>
  </si>
  <si>
    <t xml:space="preserve">lower </t>
  </si>
  <si>
    <t xml:space="preserve">upper </t>
  </si>
  <si>
    <t xml:space="preserve"> "±"</t>
  </si>
  <si>
    <t>trivial</t>
  </si>
  <si>
    <t>+ ive</t>
  </si>
  <si>
    <t>- ive</t>
  </si>
  <si>
    <t>Chances (% and qualitative) that the true value of the statistic is clinically, practically or mechanistially…</t>
  </si>
  <si>
    <t>Control</t>
  </si>
  <si>
    <t>Exptal</t>
  </si>
  <si>
    <r>
      <t xml:space="preserve"> "</t>
    </r>
    <r>
      <rPr>
        <sz val="11"/>
        <rFont val="Symbol"/>
        <family val="1"/>
        <charset val="2"/>
      </rPr>
      <t>´¤¸</t>
    </r>
    <r>
      <rPr>
        <sz val="10"/>
        <rFont val="Arial"/>
        <family val="2"/>
      </rPr>
      <t xml:space="preserve">" </t>
    </r>
  </si>
  <si>
    <t>transformed SD</t>
  </si>
  <si>
    <t xml:space="preserve">    Double-click on one of the mean or SD cells to check that you have done this operation properly.  Colored boxes should enclose all your data.</t>
  </si>
  <si>
    <t>Chris</t>
  </si>
  <si>
    <t>Courtney</t>
  </si>
  <si>
    <t>Drew</t>
  </si>
  <si>
    <t>Jo</t>
  </si>
  <si>
    <t>Jesse</t>
  </si>
  <si>
    <t>Kelly</t>
  </si>
  <si>
    <t>Alex</t>
  </si>
  <si>
    <t>Dylan</t>
  </si>
  <si>
    <t>n</t>
  </si>
  <si>
    <t>Log units</t>
  </si>
  <si>
    <t>Percent units</t>
  </si>
  <si>
    <t>SD as CV (%)</t>
  </si>
  <si>
    <r>
      <t xml:space="preserve"> "</t>
    </r>
    <r>
      <rPr>
        <sz val="11"/>
        <rFont val="Symbol"/>
        <family val="1"/>
        <charset val="2"/>
      </rPr>
      <t>´¤¸</t>
    </r>
    <r>
      <rPr>
        <sz val="10"/>
        <rFont val="Arial"/>
        <family val="2"/>
      </rPr>
      <t>" approx.</t>
    </r>
  </si>
  <si>
    <t>Factor units</t>
  </si>
  <si>
    <t>SD as factor</t>
  </si>
  <si>
    <t>Raw units</t>
  </si>
  <si>
    <r>
      <t xml:space="preserve">If you have </t>
    </r>
    <r>
      <rPr>
        <b/>
        <sz val="10"/>
        <rFont val="Arial"/>
        <family val="2"/>
      </rPr>
      <t>three or more groups</t>
    </r>
    <r>
      <rPr>
        <sz val="10"/>
        <rFont val="Arial"/>
        <family val="2"/>
      </rPr>
      <t>, use a whole new sheet for each pairwise comparison.</t>
    </r>
  </si>
  <si>
    <t xml:space="preserve"> "±" approx.</t>
  </si>
  <si>
    <t>SE</t>
  </si>
  <si>
    <t xml:space="preserve">    If you include the first row, you will corrupt the background calculations.  You can delete or clear the first row, though. </t>
  </si>
  <si>
    <t>deg. freedom</t>
  </si>
  <si>
    <t>Ariel</t>
  </si>
  <si>
    <t>Ashley</t>
  </si>
  <si>
    <t>Bernie</t>
  </si>
  <si>
    <t>Casey</t>
  </si>
  <si>
    <t>Corey</t>
  </si>
  <si>
    <t>Devon</t>
  </si>
  <si>
    <t>Frances</t>
  </si>
  <si>
    <t>Gene</t>
  </si>
  <si>
    <t>Jaimie</t>
  </si>
  <si>
    <t>Jean</t>
  </si>
  <si>
    <t xml:space="preserve">Jody </t>
  </si>
  <si>
    <t>Jordan</t>
  </si>
  <si>
    <r>
      <t xml:space="preserve"> "</t>
    </r>
    <r>
      <rPr>
        <sz val="11"/>
        <color indexed="23"/>
        <rFont val="Symbol"/>
        <family val="1"/>
        <charset val="2"/>
      </rPr>
      <t>´¤¸</t>
    </r>
    <r>
      <rPr>
        <sz val="10"/>
        <color indexed="23"/>
        <rFont val="Arial"/>
        <family val="2"/>
      </rPr>
      <t xml:space="preserve">" </t>
    </r>
  </si>
  <si>
    <t>Grand max</t>
  </si>
  <si>
    <t>Grand min</t>
  </si>
  <si>
    <t>SD or SEE as a CV (%)</t>
  </si>
  <si>
    <r>
      <t xml:space="preserve">SD or SEE as </t>
    </r>
    <r>
      <rPr>
        <sz val="10"/>
        <rFont val="Symbol"/>
        <family val="1"/>
        <charset val="2"/>
      </rPr>
      <t>´¤¸</t>
    </r>
    <r>
      <rPr>
        <sz val="10"/>
        <rFont val="Arial"/>
        <family val="2"/>
      </rPr>
      <t xml:space="preserve"> factor</t>
    </r>
  </si>
  <si>
    <t>degrees of freedom</t>
  </si>
  <si>
    <r>
      <t xml:space="preserve">You may change cells in </t>
    </r>
    <r>
      <rPr>
        <b/>
        <sz val="10"/>
        <color indexed="20"/>
        <rFont val="Arial"/>
        <family val="2"/>
      </rPr>
      <t>plum</t>
    </r>
    <r>
      <rPr>
        <sz val="10"/>
        <rFont val="Arial"/>
        <family val="2"/>
      </rPr>
      <t xml:space="preserve"> to see the effect on whatever, but remember to "control-z" or otherwise undo to restore the formulae in these cells.</t>
    </r>
  </si>
  <si>
    <r>
      <t>Do NOT use cut (Ctrl+X) or drag to replace or move data</t>
    </r>
    <r>
      <rPr>
        <sz val="10"/>
        <rFont val="Arial"/>
        <family val="2"/>
      </rPr>
      <t xml:space="preserve">. Instead, </t>
    </r>
    <r>
      <rPr>
        <b/>
        <sz val="10"/>
        <rFont val="Arial"/>
        <family val="2"/>
      </rPr>
      <t>copy (Ctrl+C), then paste (Ctrl+V)</t>
    </r>
    <r>
      <rPr>
        <sz val="10"/>
        <rFont val="Arial"/>
        <family val="2"/>
      </rPr>
      <t xml:space="preserve"> onto existing data or into blank cells.</t>
    </r>
  </si>
  <si>
    <t>Threshold for clinical chances</t>
  </si>
  <si>
    <t>Degrees of freedom</t>
  </si>
  <si>
    <t>Raw SD</t>
  </si>
  <si>
    <t>Threshold ratio for</t>
  </si>
  <si>
    <r>
      <t xml:space="preserve">If you have </t>
    </r>
    <r>
      <rPr>
        <b/>
        <sz val="10"/>
        <rFont val="Arial"/>
        <family val="2"/>
      </rPr>
      <t>more observations</t>
    </r>
    <r>
      <rPr>
        <sz val="10"/>
        <rFont val="Arial"/>
        <family val="2"/>
      </rPr>
      <t>, select entire row(s) and right-click COPY and right-click INSERT them anywhere below (but NOT including) the first row of the group.</t>
    </r>
  </si>
  <si>
    <t>Trial:</t>
  </si>
  <si>
    <t>mean:</t>
  </si>
  <si>
    <t>SD+:</t>
  </si>
  <si>
    <t>SD-:</t>
  </si>
  <si>
    <t>Pre1</t>
  </si>
  <si>
    <t>Pre2</t>
  </si>
  <si>
    <t>Post1</t>
  </si>
  <si>
    <t>Post2</t>
  </si>
  <si>
    <t>Raw</t>
  </si>
  <si>
    <t>Percent</t>
  </si>
  <si>
    <t>Factor</t>
  </si>
  <si>
    <t>Standardized</t>
  </si>
  <si>
    <t>substantially &gt;</t>
  </si>
  <si>
    <t>substantially &lt;</t>
  </si>
  <si>
    <t>greater than threshold</t>
  </si>
  <si>
    <t>less than threshold</t>
  </si>
  <si>
    <t>Odds ratio for benefit/harm</t>
  </si>
  <si>
    <t>(for analysis of raw data)</t>
  </si>
  <si>
    <t>(for analysis of log-transformed data)</t>
  </si>
  <si>
    <t>Maximum risk of harm (%)</t>
  </si>
  <si>
    <t>Minimum chance of benefit (%)</t>
  </si>
  <si>
    <t xml:space="preserve"> Threshold for opposite or beneficial</t>
  </si>
  <si>
    <t xml:space="preserve"> effect (provided automatically)</t>
  </si>
  <si>
    <t>Benefit/harm odds ratio</t>
  </si>
  <si>
    <t>Mean pretest SD</t>
  </si>
  <si>
    <t>effect via standardization</t>
  </si>
  <si>
    <t xml:space="preserve"> effect via standardization</t>
  </si>
  <si>
    <t>Threshold for important or harmful</t>
  </si>
  <si>
    <r>
      <t>Hover cursor</t>
    </r>
    <r>
      <rPr>
        <sz val="10"/>
        <rFont val="Arial"/>
        <family val="2"/>
      </rPr>
      <t xml:space="preserve"> for citation:</t>
    </r>
  </si>
  <si>
    <t>The above are provided when you insert a threshold standardized value.</t>
  </si>
  <si>
    <t>or insert your own SD here:</t>
  </si>
  <si>
    <t>with its sample size:</t>
  </si>
  <si>
    <t>Pretest SDs included for standardizing</t>
  </si>
  <si>
    <t>Adjusted SD for standardizing</t>
  </si>
  <si>
    <t>One predictor</t>
  </si>
  <si>
    <t>Both predictors</t>
  </si>
  <si>
    <t>Custom effect:</t>
  </si>
  <si>
    <t>X1</t>
  </si>
  <si>
    <t>X2</t>
  </si>
  <si>
    <t>Adjusting for, and effects of, one or both predictors</t>
  </si>
  <si>
    <t>Adjusted to predictor =</t>
  </si>
  <si>
    <t>Mean predictor</t>
  </si>
  <si>
    <t>SD predictor</t>
  </si>
  <si>
    <t>LINEST for</t>
  </si>
  <si>
    <t>two predictors</t>
  </si>
  <si>
    <t>SE pred</t>
  </si>
  <si>
    <t xml:space="preserve">    When adjusting for both predictors, missing values are not allowed. You must delete the whole row containing the missing value.</t>
  </si>
  <si>
    <t>Value of predictor</t>
  </si>
  <si>
    <t xml:space="preserve">  Right-click the predictor axis on the graphs</t>
  </si>
  <si>
    <t xml:space="preserve">  below to set a minimum value, if necessary.</t>
  </si>
  <si>
    <t>For plotting predictors</t>
  </si>
  <si>
    <t>For time series:</t>
  </si>
  <si>
    <t>X-axis tweak for time series:</t>
  </si>
  <si>
    <t xml:space="preserve">  a minimum and maximum value, if necessary.</t>
  </si>
  <si>
    <t>You may have to further stretch the whole graph in the vertical</t>
  </si>
  <si>
    <t xml:space="preserve">  direction, add ticks and edit it severely in Powerpoint to make it</t>
  </si>
  <si>
    <t xml:space="preserve">  publishable. Or graph it in Graphpad Prism or SigmaPlot.</t>
  </si>
  <si>
    <t>Right-click the Y axis on the graphs below to set</t>
  </si>
  <si>
    <t>Time:</t>
  </si>
  <si>
    <t xml:space="preserve">   The appropriate log-transform of this X2 is also provided automatically. If you insert your own X2, your values are copied into the log-transformed cells without log transformation.</t>
  </si>
  <si>
    <r>
      <t xml:space="preserve">If you have </t>
    </r>
    <r>
      <rPr>
        <b/>
        <sz val="10"/>
        <rFont val="Arial"/>
        <family val="2"/>
      </rPr>
      <t>less observations</t>
    </r>
    <r>
      <rPr>
        <sz val="10"/>
        <rFont val="Arial"/>
        <family val="2"/>
      </rPr>
      <t xml:space="preserve"> than shown here,</t>
    </r>
    <r>
      <rPr>
        <sz val="10"/>
        <rFont val="Arial"/>
        <family val="2"/>
      </rPr>
      <t xml:space="preserve"> select the entire row(s) and hit the Delete key or right-click and delete the rows(s) entirely.</t>
    </r>
  </si>
  <si>
    <r>
      <rPr>
        <b/>
        <sz val="10"/>
        <rFont val="Arial"/>
        <family val="2"/>
      </rPr>
      <t>Specify an effect</t>
    </r>
    <r>
      <rPr>
        <sz val="10"/>
        <rFont val="Arial"/>
        <family val="2"/>
      </rPr>
      <t xml:space="preserve"> by inserting appropriate weighting factors to the right of "Custom effect:". The example shown makes the effect Post1-Pre2. </t>
    </r>
  </si>
  <si>
    <t>Either use the time-series plot edited in</t>
  </si>
  <si>
    <t xml:space="preserve">   Powerpoint to show values for Trial on the</t>
  </si>
  <si>
    <t xml:space="preserve">   X axis, or use Graphpad Prism, Sigmaplot,</t>
  </si>
  <si>
    <t xml:space="preserve">   or other graphing software.</t>
  </si>
  <si>
    <t>Excel does not permit tweaking of the Trial</t>
  </si>
  <si>
    <t xml:space="preserve">  value on the X axis to produce a slight </t>
  </si>
  <si>
    <t xml:space="preserve">   separation of overlapping points.</t>
  </si>
  <si>
    <t>Chances (% and qualitative) that the true value of the statistic is non-clinically or clinically (practically)…</t>
  </si>
  <si>
    <t>Chances (% and qualitative) that the true ratio is non-clinically…</t>
  </si>
  <si>
    <t>Effect of delta predictor =</t>
  </si>
  <si>
    <t>(for either analysis)</t>
  </si>
  <si>
    <t xml:space="preserve">If X2 is the baseline of the dependent, clear any </t>
  </si>
  <si>
    <t xml:space="preserve">  blank values to get the graph to display properly.</t>
  </si>
  <si>
    <t xml:space="preserve">  If X2 is the baseline of the dependent, clear any </t>
  </si>
  <si>
    <t xml:space="preserve">    blank values to get the graph to display properly.</t>
  </si>
  <si>
    <t>SD for standardizing</t>
  </si>
  <si>
    <t>pre-test SD for standardizing</t>
  </si>
  <si>
    <t>Individual responses as SD</t>
  </si>
  <si>
    <t>Standardized units</t>
  </si>
  <si>
    <t>SD standardized</t>
  </si>
  <si>
    <t>Pretest SDs included</t>
  </si>
  <si>
    <r>
      <t xml:space="preserve">Blocks of cells requiring some input of data are highlighted in bright yellow. </t>
    </r>
    <r>
      <rPr>
        <sz val="10"/>
        <rFont val="Arial"/>
        <family val="2"/>
      </rPr>
      <t>Pale yellow indicates optional modification or input.</t>
    </r>
  </si>
  <si>
    <r>
      <t xml:space="preserve">If you have </t>
    </r>
    <r>
      <rPr>
        <b/>
        <sz val="10"/>
        <rFont val="Arial"/>
        <family val="2"/>
      </rPr>
      <t>extra trial(s)</t>
    </r>
    <r>
      <rPr>
        <sz val="10"/>
        <rFont val="Arial"/>
        <family val="2"/>
      </rPr>
      <t xml:space="preserve">, select entire existing trial column(s), then right-click copy and right-click insert. </t>
    </r>
    <r>
      <rPr>
        <b/>
        <sz val="10"/>
        <rFont val="Arial"/>
        <family val="2"/>
      </rPr>
      <t>Do NOT copy-insert the Pre1 column</t>
    </r>
    <r>
      <rPr>
        <sz val="10"/>
        <rFont val="Arial"/>
        <family val="2"/>
      </rPr>
      <t>.</t>
    </r>
  </si>
  <si>
    <r>
      <t xml:space="preserve">Mean or effect of </t>
    </r>
    <r>
      <rPr>
        <sz val="10"/>
        <rFont val="Symbol"/>
        <family val="1"/>
        <charset val="2"/>
      </rPr>
      <t xml:space="preserve">D </t>
    </r>
    <r>
      <rPr>
        <sz val="10"/>
        <rFont val="Arial"/>
        <family val="2"/>
      </rPr>
      <t>predictor</t>
    </r>
  </si>
  <si>
    <t>SD or SEE</t>
  </si>
  <si>
    <r>
      <t xml:space="preserve">Stdzd mean or effect of </t>
    </r>
    <r>
      <rPr>
        <sz val="10"/>
        <rFont val="Symbol"/>
        <family val="1"/>
        <charset val="2"/>
      </rPr>
      <t xml:space="preserve">D </t>
    </r>
    <r>
      <rPr>
        <sz val="10"/>
        <rFont val="Arial"/>
        <family val="2"/>
      </rPr>
      <t>predictor</t>
    </r>
  </si>
  <si>
    <t>Standardized SD or SEE</t>
  </si>
  <si>
    <r>
      <t xml:space="preserve">Mean or effect of </t>
    </r>
    <r>
      <rPr>
        <sz val="10"/>
        <rFont val="Symbol"/>
        <family val="1"/>
        <charset val="2"/>
      </rPr>
      <t xml:space="preserve">D </t>
    </r>
    <r>
      <rPr>
        <sz val="10"/>
        <rFont val="Arial"/>
        <family val="2"/>
      </rPr>
      <t>predictor (%)</t>
    </r>
  </si>
  <si>
    <r>
      <t xml:space="preserve">Mean or effect of </t>
    </r>
    <r>
      <rPr>
        <sz val="10"/>
        <rFont val="Symbol"/>
        <family val="1"/>
        <charset val="2"/>
      </rPr>
      <t>D</t>
    </r>
    <r>
      <rPr>
        <sz val="10"/>
        <rFont val="Arial"/>
        <family val="2"/>
      </rPr>
      <t xml:space="preserve"> predictor as factor</t>
    </r>
  </si>
  <si>
    <t>SD or SEE (logs)</t>
  </si>
  <si>
    <r>
      <t xml:space="preserve">SE of effect or of </t>
    </r>
    <r>
      <rPr>
        <sz val="10"/>
        <color rgb="FF969696"/>
        <rFont val="Symbol"/>
        <family val="1"/>
        <charset val="2"/>
      </rPr>
      <t>D</t>
    </r>
    <r>
      <rPr>
        <sz val="10"/>
        <color rgb="FF969696"/>
        <rFont val="Arial"/>
        <family val="2"/>
      </rPr>
      <t xml:space="preserve"> predictor (logs)</t>
    </r>
  </si>
  <si>
    <r>
      <t xml:space="preserve">SE of effect or of </t>
    </r>
    <r>
      <rPr>
        <sz val="10"/>
        <color rgb="FF969696"/>
        <rFont val="Symbol"/>
        <family val="1"/>
        <charset val="2"/>
      </rPr>
      <t>D</t>
    </r>
    <r>
      <rPr>
        <sz val="10"/>
        <color rgb="FF969696"/>
        <rFont val="Arial"/>
        <family val="2"/>
      </rPr>
      <t xml:space="preserve"> predictor</t>
    </r>
  </si>
  <si>
    <t>Mean delta (%)</t>
  </si>
  <si>
    <t>Mean delta as factor</t>
  </si>
  <si>
    <t>Used to display error messages:</t>
  </si>
  <si>
    <t>-ive weights:</t>
  </si>
  <si>
    <t>FACTOR DELTAS</t>
  </si>
  <si>
    <t>PERCENT DELTAS</t>
  </si>
  <si>
    <t>Log-trans'd Deltas</t>
  </si>
  <si>
    <t>Raw Deltas</t>
  </si>
  <si>
    <t>Time-Series Plots</t>
  </si>
  <si>
    <r>
      <t xml:space="preserve">    and click on the tab </t>
    </r>
    <r>
      <rPr>
        <b/>
        <sz val="10"/>
        <rFont val="Arial"/>
        <family val="2"/>
      </rPr>
      <t>Time-series deltas</t>
    </r>
    <r>
      <rPr>
        <sz val="10"/>
        <rFont val="Arial"/>
        <family val="2"/>
      </rPr>
      <t>, which shows a spreadsheet with plots of change scores for time series.</t>
    </r>
  </si>
  <si>
    <r>
      <rPr>
        <b/>
        <sz val="10"/>
        <rFont val="Arial"/>
        <family val="2"/>
      </rPr>
      <t>If your data are a time series</t>
    </r>
    <r>
      <rPr>
        <sz val="10"/>
        <rFont val="Arial"/>
        <family val="2"/>
      </rPr>
      <t xml:space="preserve"> and you are interested in fitting trends to some or all trials, read the comment in the "For time series:" cell,</t>
    </r>
  </si>
  <si>
    <t xml:space="preserve">   value on the X axis to produce a slight </t>
  </si>
  <si>
    <t xml:space="preserve">   to see graphs of change scores.</t>
  </si>
  <si>
    <r>
      <t xml:space="preserve">If you have </t>
    </r>
    <r>
      <rPr>
        <b/>
        <sz val="10"/>
        <color rgb="FF993300"/>
        <rFont val="Arial"/>
        <family val="2"/>
      </rPr>
      <t>missing values</t>
    </r>
    <r>
      <rPr>
        <sz val="10"/>
        <color rgb="FF993300"/>
        <rFont val="Arial"/>
        <family val="2"/>
      </rPr>
      <t>, make sure any effect cell involving a missing value is cleared.</t>
    </r>
  </si>
  <si>
    <r>
      <t xml:space="preserve">Click on the tab </t>
    </r>
    <r>
      <rPr>
        <b/>
        <sz val="11"/>
        <color rgb="FF993300"/>
        <rFont val="Arial"/>
        <family val="2"/>
      </rPr>
      <t>Time-series deltas</t>
    </r>
  </si>
  <si>
    <r>
      <t xml:space="preserve">    </t>
    </r>
    <r>
      <rPr>
        <b/>
        <sz val="10"/>
        <color indexed="60"/>
        <rFont val="Arial"/>
        <family val="2"/>
      </rPr>
      <t>Hover cursor</t>
    </r>
    <r>
      <rPr>
        <sz val="10"/>
        <color indexed="60"/>
        <rFont val="Arial"/>
        <family val="2"/>
      </rPr>
      <t xml:space="preserve"> for more advice when you have </t>
    </r>
    <r>
      <rPr>
        <b/>
        <sz val="10"/>
        <color indexed="60"/>
        <rFont val="Arial"/>
        <family val="2"/>
      </rPr>
      <t>lots of missing values and repeated measurements</t>
    </r>
    <r>
      <rPr>
        <sz val="10"/>
        <color indexed="60"/>
        <rFont val="Arial"/>
        <family val="2"/>
      </rPr>
      <t>.</t>
    </r>
  </si>
  <si>
    <r>
      <t xml:space="preserve">Mean or effect of </t>
    </r>
    <r>
      <rPr>
        <sz val="10"/>
        <rFont val="Symbol"/>
        <family val="1"/>
        <charset val="2"/>
      </rPr>
      <t xml:space="preserve">D </t>
    </r>
    <r>
      <rPr>
        <sz val="10"/>
        <rFont val="Arial"/>
        <family val="2"/>
      </rPr>
      <t>predictor (logs)</t>
    </r>
  </si>
  <si>
    <t xml:space="preserve">    The positive weights must add up to exactly 1, and any negative weights must add up to exactly -1. An error message appears if they don't.</t>
  </si>
  <si>
    <r>
      <t xml:space="preserve">Replace values of the cells in </t>
    </r>
    <r>
      <rPr>
        <b/>
        <sz val="10"/>
        <color indexed="12"/>
        <rFont val="Arial"/>
        <family val="2"/>
      </rPr>
      <t>blue.</t>
    </r>
    <r>
      <rPr>
        <sz val="10"/>
        <color indexed="12"/>
        <rFont val="Arial"/>
        <family val="2"/>
      </rPr>
      <t xml:space="preserve">  </t>
    </r>
    <r>
      <rPr>
        <sz val="10"/>
        <rFont val="Arial"/>
        <family val="2"/>
      </rPr>
      <t xml:space="preserve">Useful statistics are in </t>
    </r>
    <r>
      <rPr>
        <b/>
        <sz val="10"/>
        <color indexed="10"/>
        <rFont val="Arial"/>
        <family val="2"/>
      </rPr>
      <t>red</t>
    </r>
    <r>
      <rPr>
        <sz val="10"/>
        <rFont val="Arial"/>
        <family val="2"/>
      </rPr>
      <t>. Don't touch these cells, cells with values in black or grey, or cells filled with dark grey.</t>
    </r>
  </si>
  <si>
    <r>
      <t xml:space="preserve">This spreadsheet generates and plots means and SD of change scores using the data in Sheet1. Each change score is the value for the given time point minus the mean of the values of time points with negative weights that add to -1.
Plots of  mean change scores are useful to visualize trends in a time series when you have missing data, because missing data can add "noise" to the plots of the original scores (shown in Sheet1). Use plots of change scores to guide the inferences you want to make in Sheet1, but be aware that adjustment for baseline (X2) and any other covariate (X1) will change the mean change scores.
</t>
    </r>
    <r>
      <rPr>
        <b/>
        <sz val="10"/>
        <rFont val="Arial"/>
        <family val="2"/>
      </rPr>
      <t xml:space="preserve">Make sure you insert columns and insert or delete rows in this sheet in the same sequence as in Sheet1. Do one cycle of insertion for the raw data, log-transformed data, raw deltas and log-transformed deltas.  Then for more trials, do another cycle of insertion.  </t>
    </r>
    <r>
      <rPr>
        <b/>
        <sz val="10"/>
        <color rgb="FFFF0000"/>
        <rFont val="Arial"/>
        <family val="2"/>
      </rPr>
      <t>DO NOT INSERT TWICE IN THE RAW DATA, TWICE IN THE LOG DATA, etc., or you will corrupt the links.</t>
    </r>
    <r>
      <rPr>
        <b/>
        <sz val="10"/>
        <rFont val="Arial"/>
        <family val="2"/>
      </rPr>
      <t xml:space="preserve">
</t>
    </r>
    <r>
      <rPr>
        <sz val="10"/>
        <rFont val="Arial"/>
        <family val="2"/>
      </rPr>
      <t xml:space="preserve">
If you have missing data (blank cells) in Sheet1, you will see instructions in this sheet to clear cells in the corresponding rows here and/or in Sheet1.</t>
    </r>
  </si>
  <si>
    <t>with its sample size</t>
  </si>
  <si>
    <t>and its matching mean:</t>
  </si>
  <si>
    <t>Pretest SD(s) or own SD as a CV (%)</t>
  </si>
  <si>
    <r>
      <t xml:space="preserve">Pretest or own SD as a </t>
    </r>
    <r>
      <rPr>
        <sz val="10"/>
        <rFont val="Symbol"/>
        <family val="1"/>
        <charset val="2"/>
      </rPr>
      <t>´/¸</t>
    </r>
    <r>
      <rPr>
        <sz val="10"/>
        <rFont val="Arial"/>
        <family val="2"/>
      </rPr>
      <t xml:space="preserve"> factor</t>
    </r>
  </si>
  <si>
    <t>or insert your own SD here (log-transformed)</t>
  </si>
  <si>
    <t>Post3</t>
  </si>
  <si>
    <t xml:space="preserve">    You can average treatments; e.g., Post1 - (Pre1+Pre2)/2 is obtained with -0.5  -0.5  1  0  0.</t>
  </si>
  <si>
    <t>Choose (pre)test SD(s) or insert your own SD for standardizing</t>
  </si>
  <si>
    <t>(Pre)tests chosen automatically:</t>
  </si>
  <si>
    <t>or you choose (pre)test(s) for standardizing:</t>
  </si>
  <si>
    <t>Baseline or reference</t>
  </si>
  <si>
    <r>
      <t xml:space="preserve">    Missing </t>
    </r>
    <r>
      <rPr>
        <b/>
        <i/>
        <sz val="10"/>
        <color rgb="FF993300"/>
        <rFont val="Arial"/>
        <family val="2"/>
      </rPr>
      <t>predictor</t>
    </r>
    <r>
      <rPr>
        <sz val="10"/>
        <color rgb="FF993300"/>
        <rFont val="Arial"/>
        <family val="2"/>
      </rPr>
      <t xml:space="preserve"> values must be blank or the graphs are corrupted.</t>
    </r>
  </si>
  <si>
    <t>Treatment</t>
  </si>
  <si>
    <r>
      <t xml:space="preserve">ANALYSIS OF A </t>
    </r>
    <r>
      <rPr>
        <b/>
        <sz val="11"/>
        <color rgb="FFFF0000"/>
        <rFont val="Arial"/>
        <family val="2"/>
      </rPr>
      <t>PRE-POST CROSSOVER</t>
    </r>
    <r>
      <rPr>
        <b/>
        <sz val="11"/>
        <rFont val="Arial"/>
        <family val="2"/>
      </rPr>
      <t>, WITH ADJUSTMENT FOR ONE OR TWO PREDICTORS</t>
    </r>
  </si>
  <si>
    <t>You can also use this spreadsheet when the data consist of a two time series of repeated measurements without a crossover of treatments.</t>
  </si>
  <si>
    <r>
      <t>This spreadsheet is a major update of a previous version, available at http://newstats.org/xPrePostCrossover.xls.</t>
    </r>
    <r>
      <rPr>
        <b/>
        <sz val="10"/>
        <color indexed="60"/>
        <rFont val="Arial"/>
        <family val="2"/>
      </rPr>
      <t xml:space="preserve"> This new version allows one or two predictors.</t>
    </r>
  </si>
  <si>
    <t>Data (generated with Understaning Stats via Simulations) are for a crossover training study in which the improvement in peak power in an incremental test depended on the initial weekly training (X1) of the cyclists.</t>
  </si>
  <si>
    <r>
      <t>If you have</t>
    </r>
    <r>
      <rPr>
        <b/>
        <sz val="10"/>
        <rFont val="Arial"/>
        <family val="2"/>
      </rPr>
      <t xml:space="preserve"> less than five trials,</t>
    </r>
    <r>
      <rPr>
        <sz val="10"/>
        <rFont val="Arial"/>
        <family val="2"/>
      </rPr>
      <t xml:space="preserve"> make the superfluous trial(s) identical to other trial(s), because deletion of columns makes comment boxes too narrow.</t>
    </r>
  </si>
  <si>
    <r>
      <t xml:space="preserve">    </t>
    </r>
    <r>
      <rPr>
        <b/>
        <sz val="10"/>
        <rFont val="Arial"/>
        <family val="2"/>
      </rPr>
      <t>To insert &gt;four extra trials</t>
    </r>
    <r>
      <rPr>
        <sz val="10"/>
        <rFont val="Arial"/>
        <family val="2"/>
      </rPr>
      <t>, copy-insert four,  first in the raw data, then in the log data, then in the time-series raw and log data. Repeat this process for more trials.</t>
    </r>
  </si>
  <si>
    <r>
      <t xml:space="preserve">    </t>
    </r>
    <r>
      <rPr>
        <b/>
        <sz val="10"/>
        <rFont val="Arial"/>
        <family val="2"/>
      </rPr>
      <t>Copy and insert new columns in the same relative place</t>
    </r>
    <r>
      <rPr>
        <sz val="10"/>
        <rFont val="Arial"/>
        <family val="2"/>
      </rPr>
      <t xml:space="preserve"> in the log-transformed data, </t>
    </r>
    <r>
      <rPr>
        <b/>
        <sz val="10"/>
        <rFont val="Arial"/>
        <family val="2"/>
      </rPr>
      <t>even if you are not using logs</t>
    </r>
    <r>
      <rPr>
        <sz val="10"/>
        <rFont val="Arial"/>
        <family val="2"/>
      </rPr>
      <t xml:space="preserve">. </t>
    </r>
    <r>
      <rPr>
        <b/>
        <sz val="10"/>
        <rFont val="Arial"/>
        <family val="2"/>
      </rPr>
      <t>Repeat for the time-series deltas.</t>
    </r>
  </si>
  <si>
    <t xml:space="preserve">   The predictors (X1, X2) can be any subject characteristic (or change score, for a mechanisms analysis). X2 is already calculated as the "baseline" from the negative weights of the custom effect.</t>
  </si>
  <si>
    <t>Change in custom effect:</t>
  </si>
  <si>
    <r>
      <rPr>
        <b/>
        <sz val="10"/>
        <color rgb="FF993300"/>
        <rFont val="Arial"/>
        <family val="2"/>
      </rPr>
      <t>Make sure the spreadsheet chooses the tests you want for standardizing effects</t>
    </r>
    <r>
      <rPr>
        <sz val="10"/>
        <rFont val="Arial"/>
        <family val="2"/>
      </rPr>
      <t xml:space="preserve">. See the cells </t>
    </r>
    <r>
      <rPr>
        <b/>
        <sz val="10"/>
        <rFont val="Arial"/>
        <family val="2"/>
      </rPr>
      <t>Choose (pre)test SD(s) or insert your own SD for standardizing</t>
    </r>
    <r>
      <rPr>
        <sz val="10"/>
        <rFont val="Arial"/>
        <family val="2"/>
      </rPr>
      <t>.</t>
    </r>
  </si>
  <si>
    <t>Change in custom effects in raw units</t>
  </si>
  <si>
    <t>Change in custom effects as percents</t>
  </si>
  <si>
    <t>Change in custom effects in standardized units</t>
  </si>
  <si>
    <t>Change in custom effects as factors</t>
  </si>
  <si>
    <t>Change in custom effects</t>
  </si>
  <si>
    <t>Change in custom effects (%)</t>
  </si>
  <si>
    <t>Change in custom effects in log units</t>
  </si>
  <si>
    <t>Change in means as factor</t>
  </si>
  <si>
    <t>Change in raw units</t>
  </si>
  <si>
    <t>Change in log-transformed units</t>
  </si>
  <si>
    <t>Hover cursor for comment on individual responses and changes.</t>
  </si>
  <si>
    <r>
      <t xml:space="preserve">Hover cursor </t>
    </r>
    <r>
      <rPr>
        <sz val="10"/>
        <rFont val="Arial"/>
        <family val="2"/>
      </rPr>
      <t xml:space="preserve">for important advice on </t>
    </r>
    <r>
      <rPr>
        <b/>
        <sz val="10"/>
        <color rgb="FF993300"/>
        <rFont val="Arial"/>
        <family val="2"/>
      </rPr>
      <t>lots of repeated measurements and missing values</t>
    </r>
    <r>
      <rPr>
        <sz val="10"/>
        <rFont val="Arial"/>
        <family val="2"/>
      </rPr>
      <t>.</t>
    </r>
  </si>
  <si>
    <r>
      <t xml:space="preserve"> "</t>
    </r>
    <r>
      <rPr>
        <sz val="10"/>
        <rFont val="Symbol"/>
        <family val="1"/>
        <charset val="2"/>
      </rPr>
      <t>´¤¸</t>
    </r>
    <r>
      <rPr>
        <sz val="10"/>
        <rFont val="Arial"/>
        <family val="2"/>
      </rPr>
      <t xml:space="preserve">" </t>
    </r>
  </si>
  <si>
    <t>Ratio of SDs</t>
  </si>
  <si>
    <t>Individual responses as stdized SD</t>
  </si>
  <si>
    <t>Individual responses as an SD factor</t>
  </si>
  <si>
    <t>Stdized change in custom effects</t>
  </si>
  <si>
    <t>Individual responses as a CV (%)</t>
  </si>
  <si>
    <t>Individual responses as an SD</t>
  </si>
  <si>
    <t>DF</t>
  </si>
  <si>
    <t>Difference in means</t>
  </si>
  <si>
    <t>Difference in means (%)</t>
  </si>
  <si>
    <t>Difference in means as a factor</t>
  </si>
  <si>
    <t>Stdzd SE</t>
  </si>
  <si>
    <t>DF of Stdzd SE</t>
  </si>
  <si>
    <t>Change in treatment means in raw units (read the comment)</t>
  </si>
  <si>
    <t>Change in treatment means in standardized units</t>
  </si>
  <si>
    <t>Change in treatment means as factors (read the comment)</t>
  </si>
  <si>
    <t>Standardized Change in treatment means</t>
  </si>
  <si>
    <t>Individual changes as an SD</t>
  </si>
  <si>
    <t>Individual changes as a CV (%)</t>
  </si>
  <si>
    <t>Individual changes as a factor SD</t>
  </si>
  <si>
    <t>Individual changes as a stdized SD</t>
  </si>
  <si>
    <t>Change in treatment means in percent units (read comment)</t>
  </si>
  <si>
    <t>Change in treatment means in stdized units (read comment)</t>
  </si>
  <si>
    <t>Unadjusted SD for indiv. changes and responses</t>
  </si>
  <si>
    <t>Stdized change in treatment means</t>
  </si>
  <si>
    <t>Compatibility level (%)</t>
  </si>
  <si>
    <t>Compatibility limits</t>
  </si>
  <si>
    <t>Compatibility
limits (approx.)</t>
  </si>
  <si>
    <t>Compatibility
limits</t>
  </si>
  <si>
    <t>Number of independent decisions</t>
  </si>
  <si>
    <t>Thresholds for decisions</t>
  </si>
  <si>
    <t>Ratio of treatment SDs (for decisions about individual responses)</t>
  </si>
  <si>
    <t>Both groups coMBDned</t>
  </si>
  <si>
    <t>Note: subject names must match in the two treatments, and there can be no missing values.</t>
  </si>
  <si>
    <t>Threshold chances for non-clinical decisions (%)</t>
  </si>
  <si>
    <t xml:space="preserve"> Hover for updates: 2020</t>
  </si>
  <si>
    <r>
      <t xml:space="preserve">Insert threshold for smallest important or </t>
    </r>
    <r>
      <rPr>
        <b/>
        <sz val="10"/>
        <color rgb="FFC00000"/>
        <rFont val="Arial"/>
        <family val="2"/>
      </rPr>
      <t>harmful</t>
    </r>
    <r>
      <rPr>
        <sz val="10"/>
        <rFont val="Arial"/>
        <family val="2"/>
      </rPr>
      <t xml:space="preserve"> effect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</si>
</sst>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86" x14ac:knownFonts="1">
    <font>
      <sz val="10"/>
      <name val="Arial"/>
    </font>
    <font>
      <sz val="10"/>
      <name val="Arial"/>
      <family val="2"/>
    </font>
    <font>
      <b/>
      <sz val="10"/>
      <name val="Arial"/>
      <family val="2"/>
    </font>
    <font>
      <sz val="10"/>
      <name val="Arial"/>
      <family val="2"/>
    </font>
    <font>
      <sz val="10"/>
      <name val="Symbol"/>
      <family val="1"/>
      <charset val="2"/>
    </font>
    <font>
      <b/>
      <sz val="10"/>
      <color indexed="12"/>
      <name val="Arial"/>
      <family val="2"/>
    </font>
    <font>
      <sz val="8"/>
      <color indexed="81"/>
      <name val="Tahoma"/>
      <family val="2"/>
    </font>
    <font>
      <b/>
      <sz val="8"/>
      <color indexed="81"/>
      <name val="Tahoma"/>
      <family val="2"/>
    </font>
    <font>
      <sz val="9"/>
      <name val="Arial"/>
      <family val="2"/>
    </font>
    <font>
      <sz val="8"/>
      <name val="Arial"/>
      <family val="2"/>
    </font>
    <font>
      <b/>
      <sz val="9"/>
      <color indexed="14"/>
      <name val="Arial"/>
      <family val="2"/>
    </font>
    <font>
      <b/>
      <sz val="10"/>
      <color indexed="10"/>
      <name val="Arial"/>
      <family val="2"/>
    </font>
    <font>
      <sz val="10"/>
      <color indexed="10"/>
      <name val="Arial"/>
      <family val="2"/>
    </font>
    <font>
      <sz val="10"/>
      <color indexed="12"/>
      <name val="Arial"/>
      <family val="2"/>
    </font>
    <font>
      <sz val="11"/>
      <name val="Arial"/>
      <family val="2"/>
    </font>
    <font>
      <sz val="11"/>
      <name val="Symbol"/>
      <family val="1"/>
      <charset val="2"/>
    </font>
    <font>
      <b/>
      <sz val="11"/>
      <name val="Arial"/>
      <family val="2"/>
    </font>
    <font>
      <sz val="9"/>
      <color indexed="14"/>
      <name val="Arial"/>
      <family val="2"/>
    </font>
    <font>
      <sz val="9"/>
      <color indexed="57"/>
      <name val="Arial"/>
      <family val="2"/>
    </font>
    <font>
      <b/>
      <sz val="14"/>
      <color indexed="12"/>
      <name val="Arial"/>
      <family val="2"/>
    </font>
    <font>
      <b/>
      <sz val="10"/>
      <color indexed="20"/>
      <name val="Arial"/>
      <family val="2"/>
    </font>
    <font>
      <sz val="10"/>
      <color indexed="23"/>
      <name val="Arial"/>
      <family val="2"/>
    </font>
    <font>
      <sz val="10"/>
      <color indexed="23"/>
      <name val="Arial"/>
      <family val="2"/>
    </font>
    <font>
      <b/>
      <sz val="11"/>
      <name val="Arial Narrow"/>
      <family val="2"/>
    </font>
    <font>
      <b/>
      <sz val="12"/>
      <name val="Arial Narrow"/>
      <family val="2"/>
    </font>
    <font>
      <sz val="11"/>
      <name val="Arial Narrow"/>
      <family val="2"/>
    </font>
    <font>
      <sz val="10"/>
      <name val="Arial Narrow"/>
      <family val="2"/>
    </font>
    <font>
      <b/>
      <sz val="10"/>
      <name val="Arial Narrow"/>
      <family val="2"/>
    </font>
    <font>
      <b/>
      <sz val="10"/>
      <color indexed="12"/>
      <name val="Arial Narrow"/>
      <family val="2"/>
    </font>
    <font>
      <sz val="9"/>
      <name val="Arial Narrow"/>
      <family val="2"/>
    </font>
    <font>
      <b/>
      <sz val="10"/>
      <color indexed="23"/>
      <name val="Arial"/>
      <family val="2"/>
    </font>
    <font>
      <sz val="9"/>
      <color indexed="23"/>
      <name val="Arial"/>
      <family val="2"/>
    </font>
    <font>
      <sz val="11"/>
      <color indexed="23"/>
      <name val="Symbol"/>
      <family val="1"/>
      <charset val="2"/>
    </font>
    <font>
      <b/>
      <sz val="12"/>
      <color indexed="12"/>
      <name val="Arial"/>
      <family val="2"/>
    </font>
    <font>
      <sz val="10"/>
      <color indexed="8"/>
      <name val="Arial"/>
      <family val="2"/>
    </font>
    <font>
      <sz val="9"/>
      <color indexed="8"/>
      <name val="Arial"/>
      <family val="2"/>
    </font>
    <font>
      <b/>
      <sz val="11"/>
      <color indexed="12"/>
      <name val="Arial"/>
      <family val="2"/>
    </font>
    <font>
      <b/>
      <sz val="11"/>
      <color indexed="20"/>
      <name val="Arial"/>
      <family val="2"/>
    </font>
    <font>
      <sz val="9"/>
      <name val="Arial"/>
      <family val="2"/>
    </font>
    <font>
      <sz val="10"/>
      <color indexed="55"/>
      <name val="Arial"/>
      <family val="2"/>
    </font>
    <font>
      <b/>
      <sz val="9"/>
      <color indexed="61"/>
      <name val="Arial"/>
      <family val="2"/>
    </font>
    <font>
      <sz val="9"/>
      <color indexed="81"/>
      <name val="Tahoma"/>
      <family val="2"/>
    </font>
    <font>
      <sz val="10"/>
      <name val="Arial"/>
      <family val="2"/>
    </font>
    <font>
      <sz val="11"/>
      <color indexed="10"/>
      <name val="Arial"/>
      <family val="2"/>
    </font>
    <font>
      <b/>
      <sz val="10"/>
      <color indexed="60"/>
      <name val="Arial"/>
      <family val="2"/>
    </font>
    <font>
      <sz val="10"/>
      <color indexed="60"/>
      <name val="Arial"/>
      <family val="2"/>
    </font>
    <font>
      <sz val="10"/>
      <color rgb="FF0000FF"/>
      <name val="Arial"/>
      <family val="2"/>
    </font>
    <font>
      <sz val="10"/>
      <color rgb="FFCC0099"/>
      <name val="Arial"/>
      <family val="2"/>
    </font>
    <font>
      <b/>
      <sz val="10"/>
      <color rgb="FF0000FF"/>
      <name val="Arial"/>
      <family val="2"/>
    </font>
    <font>
      <b/>
      <sz val="11"/>
      <color rgb="FFCC0099"/>
      <name val="Arial"/>
      <family val="2"/>
    </font>
    <font>
      <sz val="10"/>
      <color rgb="FFFF0000"/>
      <name val="Arial Narrow"/>
      <family val="2"/>
    </font>
    <font>
      <b/>
      <sz val="10"/>
      <color rgb="FFCC0099"/>
      <name val="Arial"/>
      <family val="2"/>
    </font>
    <font>
      <b/>
      <sz val="11"/>
      <color rgb="FFFF0000"/>
      <name val="Arial"/>
      <family val="2"/>
    </font>
    <font>
      <sz val="10"/>
      <color rgb="FFFF0000"/>
      <name val="Arial"/>
      <family val="2"/>
    </font>
    <font>
      <sz val="10"/>
      <color theme="0" tint="-0.499984740745262"/>
      <name val="Arial"/>
      <family val="2"/>
    </font>
    <font>
      <b/>
      <sz val="10"/>
      <color theme="0" tint="-0.499984740745262"/>
      <name val="Arial"/>
      <family val="2"/>
    </font>
    <font>
      <b/>
      <sz val="11"/>
      <color theme="0" tint="-0.499984740745262"/>
      <name val="Arial Narrow"/>
      <family val="2"/>
    </font>
    <font>
      <b/>
      <sz val="12"/>
      <color theme="0" tint="-0.499984740745262"/>
      <name val="Arial Narrow"/>
      <family val="2"/>
    </font>
    <font>
      <sz val="9"/>
      <color theme="0" tint="-0.499984740745262"/>
      <name val="Arial Narrow"/>
      <family val="2"/>
    </font>
    <font>
      <sz val="9"/>
      <color theme="0" tint="-0.499984740745262"/>
      <name val="Arial"/>
      <family val="2"/>
    </font>
    <font>
      <sz val="8"/>
      <color theme="0" tint="-0.499984740745262"/>
      <name val="Arial"/>
      <family val="2"/>
    </font>
    <font>
      <b/>
      <sz val="9"/>
      <color theme="0" tint="-0.499984740745262"/>
      <name val="Arial"/>
      <family val="2"/>
    </font>
    <font>
      <sz val="7"/>
      <color theme="0" tint="-0.499984740745262"/>
      <name val="Arial"/>
      <family val="2"/>
    </font>
    <font>
      <b/>
      <sz val="16"/>
      <name val="Arial Narrow"/>
      <family val="2"/>
    </font>
    <font>
      <b/>
      <sz val="14"/>
      <name val="Arial Narrow"/>
      <family val="2"/>
    </font>
    <font>
      <b/>
      <sz val="9"/>
      <color indexed="81"/>
      <name val="Tahoma"/>
      <family val="2"/>
    </font>
    <font>
      <i/>
      <sz val="8"/>
      <color indexed="81"/>
      <name val="Tahoma"/>
      <family val="2"/>
    </font>
    <font>
      <sz val="10"/>
      <color rgb="FF969696"/>
      <name val="Arial"/>
      <family val="2"/>
    </font>
    <font>
      <sz val="10"/>
      <color rgb="FF969696"/>
      <name val="Symbol"/>
      <family val="1"/>
      <charset val="2"/>
    </font>
    <font>
      <sz val="11"/>
      <color rgb="FFFF0000"/>
      <name val="Arial Narrow"/>
      <family val="2"/>
    </font>
    <font>
      <sz val="10"/>
      <color rgb="FF993300"/>
      <name val="Arial"/>
      <family val="2"/>
    </font>
    <font>
      <b/>
      <sz val="10"/>
      <color rgb="FF993300"/>
      <name val="Arial"/>
      <family val="2"/>
    </font>
    <font>
      <sz val="11"/>
      <color rgb="FF993300"/>
      <name val="Arial"/>
      <family val="2"/>
    </font>
    <font>
      <b/>
      <sz val="11"/>
      <color rgb="FF993300"/>
      <name val="Arial"/>
      <family val="2"/>
    </font>
    <font>
      <b/>
      <sz val="10"/>
      <color rgb="FFFF0000"/>
      <name val="Arial"/>
      <family val="2"/>
    </font>
    <font>
      <sz val="12"/>
      <name val="Arial"/>
      <family val="2"/>
    </font>
    <font>
      <b/>
      <sz val="10"/>
      <color rgb="FFFF0000"/>
      <name val="Arial Narrow"/>
      <family val="2"/>
    </font>
    <font>
      <sz val="10"/>
      <color indexed="20"/>
      <name val="Arial"/>
      <family val="2"/>
    </font>
    <font>
      <b/>
      <i/>
      <sz val="10"/>
      <color rgb="FF993300"/>
      <name val="Arial"/>
      <family val="2"/>
    </font>
    <font>
      <sz val="10"/>
      <color theme="1"/>
      <name val="Arial"/>
      <family val="2"/>
    </font>
    <font>
      <sz val="9"/>
      <color indexed="10"/>
      <name val="Arial"/>
      <family val="2"/>
    </font>
    <font>
      <sz val="9"/>
      <color indexed="63"/>
      <name val="Arial"/>
      <family val="2"/>
    </font>
    <font>
      <sz val="9"/>
      <color indexed="55"/>
      <name val="Arial"/>
      <family val="2"/>
    </font>
    <font>
      <i/>
      <sz val="9"/>
      <color indexed="81"/>
      <name val="Tahoma"/>
      <family val="2"/>
    </font>
    <font>
      <sz val="11"/>
      <color rgb="FFFF0000"/>
      <name val="Arial"/>
      <family val="2"/>
    </font>
    <font>
      <b/>
      <sz val="10"/>
      <color rgb="FFC00000"/>
      <name val="Arial"/>
      <family val="2"/>
    </font>
  </fonts>
  <fills count="12">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CCFF"/>
        <bgColor indexed="64"/>
      </patternFill>
    </fill>
    <fill>
      <patternFill patternType="solid">
        <fgColor rgb="FF3399FF"/>
        <bgColor indexed="64"/>
      </patternFill>
    </fill>
    <fill>
      <patternFill patternType="solid">
        <fgColor rgb="FFFF9999"/>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rgb="FFFF5050"/>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0" fontId="3" fillId="0" borderId="0"/>
  </cellStyleXfs>
  <cellXfs count="669">
    <xf numFmtId="0" fontId="0" fillId="0" borderId="0" xfId="0"/>
    <xf numFmtId="0" fontId="0" fillId="0" borderId="0" xfId="0" applyFill="1"/>
    <xf numFmtId="0" fontId="0" fillId="0" borderId="0" xfId="0" applyBorder="1"/>
    <xf numFmtId="0" fontId="8" fillId="2" borderId="0" xfId="0" applyFont="1" applyFill="1" applyBorder="1" applyAlignment="1">
      <alignment horizontal="right"/>
    </xf>
    <xf numFmtId="0" fontId="8" fillId="2" borderId="6" xfId="0" applyFont="1" applyFill="1" applyBorder="1"/>
    <xf numFmtId="164" fontId="8" fillId="2" borderId="4" xfId="0" applyNumberFormat="1" applyFont="1" applyFill="1" applyBorder="1" applyAlignment="1">
      <alignment horizontal="center"/>
    </xf>
    <xf numFmtId="0" fontId="3" fillId="0" borderId="0" xfId="0" applyFont="1"/>
    <xf numFmtId="0" fontId="3" fillId="0" borderId="0" xfId="0" applyFont="1" applyBorder="1"/>
    <xf numFmtId="0" fontId="1" fillId="0" borderId="0" xfId="0" applyFont="1"/>
    <xf numFmtId="0" fontId="21" fillId="0" borderId="0" xfId="0" applyFont="1"/>
    <xf numFmtId="0" fontId="26" fillId="0" borderId="0" xfId="0" applyFont="1"/>
    <xf numFmtId="0" fontId="13" fillId="0" borderId="0" xfId="0" applyFont="1" applyAlignment="1">
      <alignment horizontal="right"/>
    </xf>
    <xf numFmtId="1" fontId="33" fillId="0" borderId="4" xfId="0" applyNumberFormat="1" applyFont="1" applyFill="1" applyBorder="1" applyAlignment="1">
      <alignment horizontal="center"/>
    </xf>
    <xf numFmtId="0" fontId="0" fillId="0" borderId="0" xfId="0" applyFill="1" applyBorder="1"/>
    <xf numFmtId="0" fontId="42" fillId="0" borderId="0" xfId="0" applyFont="1"/>
    <xf numFmtId="0" fontId="26" fillId="0" borderId="0" xfId="0" applyFont="1" applyBorder="1"/>
    <xf numFmtId="2" fontId="3" fillId="3" borderId="0" xfId="0" applyNumberFormat="1" applyFont="1" applyFill="1" applyAlignment="1">
      <alignment horizontal="left"/>
    </xf>
    <xf numFmtId="2" fontId="0" fillId="3" borderId="0" xfId="0" applyNumberFormat="1" applyFill="1" applyAlignment="1">
      <alignment horizontal="right"/>
    </xf>
    <xf numFmtId="0" fontId="3" fillId="3" borderId="0" xfId="0" applyFont="1" applyFill="1" applyAlignment="1">
      <alignment horizontal="right"/>
    </xf>
    <xf numFmtId="0" fontId="0" fillId="3" borderId="0" xfId="0" applyFill="1"/>
    <xf numFmtId="0" fontId="2" fillId="3" borderId="0" xfId="0" applyFont="1" applyFill="1" applyAlignment="1">
      <alignment horizontal="right"/>
    </xf>
    <xf numFmtId="0" fontId="25" fillId="3" borderId="0" xfId="0" applyFont="1" applyFill="1"/>
    <xf numFmtId="0" fontId="8" fillId="3" borderId="0" xfId="0" applyFont="1" applyFill="1"/>
    <xf numFmtId="1" fontId="19" fillId="3" borderId="0" xfId="0" applyNumberFormat="1" applyFont="1" applyFill="1" applyAlignment="1">
      <alignment horizontal="right"/>
    </xf>
    <xf numFmtId="0" fontId="5" fillId="3" borderId="0" xfId="0" applyFont="1" applyFill="1" applyAlignment="1">
      <alignment horizontal="left"/>
    </xf>
    <xf numFmtId="0" fontId="0" fillId="3" borderId="0" xfId="0" applyFill="1" applyAlignment="1">
      <alignment horizontal="right"/>
    </xf>
    <xf numFmtId="2" fontId="5" fillId="0" borderId="4" xfId="0" applyNumberFormat="1" applyFont="1" applyFill="1" applyBorder="1" applyAlignment="1">
      <alignment horizontal="center"/>
    </xf>
    <xf numFmtId="2" fontId="12" fillId="3" borderId="4" xfId="0" applyNumberFormat="1" applyFont="1" applyFill="1" applyBorder="1" applyAlignment="1">
      <alignment horizontal="center"/>
    </xf>
    <xf numFmtId="0" fontId="0" fillId="3" borderId="4" xfId="0" applyFill="1" applyBorder="1" applyAlignment="1">
      <alignment horizontal="center"/>
    </xf>
    <xf numFmtId="0" fontId="5" fillId="0" borderId="4" xfId="0" applyFont="1" applyFill="1" applyBorder="1" applyAlignment="1">
      <alignment horizontal="center"/>
    </xf>
    <xf numFmtId="0" fontId="4" fillId="3" borderId="0" xfId="0" applyFont="1" applyFill="1"/>
    <xf numFmtId="0" fontId="3" fillId="3" borderId="0" xfId="0" applyFont="1" applyFill="1" applyAlignment="1">
      <alignment horizontal="left"/>
    </xf>
    <xf numFmtId="0" fontId="3" fillId="3" borderId="0" xfId="0" applyFont="1" applyFill="1"/>
    <xf numFmtId="0" fontId="0" fillId="3" borderId="0" xfId="0" applyFont="1" applyFill="1" applyBorder="1" applyAlignment="1">
      <alignment horizontal="left"/>
    </xf>
    <xf numFmtId="0" fontId="0" fillId="3" borderId="0" xfId="0" applyFill="1" applyBorder="1"/>
    <xf numFmtId="164" fontId="3" fillId="3" borderId="0" xfId="0" applyNumberFormat="1" applyFont="1" applyFill="1" applyBorder="1" applyAlignment="1">
      <alignment horizontal="center"/>
    </xf>
    <xf numFmtId="0" fontId="3" fillId="3" borderId="0" xfId="0" applyFont="1" applyFill="1" applyBorder="1" applyAlignment="1">
      <alignment horizontal="left"/>
    </xf>
    <xf numFmtId="0" fontId="1" fillId="3" borderId="0" xfId="0" applyFont="1" applyFill="1"/>
    <xf numFmtId="0" fontId="3" fillId="3" borderId="0" xfId="0" applyFont="1" applyFill="1" applyBorder="1" applyAlignment="1">
      <alignment horizontal="right"/>
    </xf>
    <xf numFmtId="164" fontId="3" fillId="3" borderId="0" xfId="0" applyNumberFormat="1" applyFont="1" applyFill="1"/>
    <xf numFmtId="0" fontId="44" fillId="3" borderId="0" xfId="0" applyFont="1" applyFill="1"/>
    <xf numFmtId="2" fontId="0" fillId="3" borderId="0" xfId="0" applyNumberFormat="1" applyFill="1"/>
    <xf numFmtId="2" fontId="3" fillId="3" borderId="0" xfId="0" applyNumberFormat="1" applyFont="1" applyFill="1" applyBorder="1"/>
    <xf numFmtId="2" fontId="3" fillId="3" borderId="0" xfId="0" applyNumberFormat="1" applyFont="1" applyFill="1"/>
    <xf numFmtId="0" fontId="2" fillId="3" borderId="0" xfId="0" applyFont="1" applyFill="1" applyAlignment="1"/>
    <xf numFmtId="0" fontId="1" fillId="3" borderId="0" xfId="0" applyFont="1" applyFill="1" applyAlignment="1"/>
    <xf numFmtId="164" fontId="0" fillId="3" borderId="0" xfId="0" applyNumberFormat="1" applyFill="1"/>
    <xf numFmtId="164" fontId="3" fillId="3" borderId="0" xfId="0" applyNumberFormat="1" applyFont="1" applyFill="1" applyBorder="1"/>
    <xf numFmtId="0" fontId="3" fillId="3" borderId="0" xfId="0" applyFont="1" applyFill="1" applyBorder="1"/>
    <xf numFmtId="0" fontId="26" fillId="3" borderId="0" xfId="0" applyFont="1" applyFill="1"/>
    <xf numFmtId="0" fontId="26" fillId="3" borderId="0" xfId="0" applyFont="1" applyFill="1" applyBorder="1"/>
    <xf numFmtId="0" fontId="21" fillId="3" borderId="0" xfId="0" applyFont="1" applyFill="1"/>
    <xf numFmtId="0" fontId="42" fillId="3" borderId="0" xfId="0" applyFont="1" applyFill="1"/>
    <xf numFmtId="0" fontId="3" fillId="3" borderId="0" xfId="0" applyFont="1" applyFill="1" applyAlignment="1">
      <alignment vertical="top"/>
    </xf>
    <xf numFmtId="0" fontId="47" fillId="4" borderId="0" xfId="0" applyFont="1" applyFill="1" applyAlignment="1">
      <alignment horizontal="right"/>
    </xf>
    <xf numFmtId="164" fontId="0" fillId="3" borderId="0" xfId="0" applyNumberFormat="1" applyFill="1" applyAlignment="1">
      <alignment horizontal="right"/>
    </xf>
    <xf numFmtId="0" fontId="14" fillId="4" borderId="9" xfId="0" applyFont="1" applyFill="1" applyBorder="1"/>
    <xf numFmtId="0" fontId="16" fillId="4" borderId="9" xfId="0" applyFont="1" applyFill="1" applyBorder="1"/>
    <xf numFmtId="0" fontId="0" fillId="5" borderId="13" xfId="0" applyFill="1" applyBorder="1"/>
    <xf numFmtId="0" fontId="0" fillId="5" borderId="12" xfId="0" applyFill="1" applyBorder="1"/>
    <xf numFmtId="0" fontId="3" fillId="5" borderId="19" xfId="0" applyFont="1" applyFill="1" applyBorder="1" applyAlignment="1">
      <alignment horizontal="right"/>
    </xf>
    <xf numFmtId="1" fontId="0" fillId="3" borderId="0" xfId="0" applyNumberFormat="1" applyFill="1" applyAlignment="1">
      <alignment horizontal="center"/>
    </xf>
    <xf numFmtId="0" fontId="8" fillId="5" borderId="2" xfId="0" applyFont="1" applyFill="1" applyBorder="1" applyAlignment="1">
      <alignment wrapText="1"/>
    </xf>
    <xf numFmtId="0" fontId="0" fillId="5" borderId="11" xfId="0" applyFill="1" applyBorder="1"/>
    <xf numFmtId="0" fontId="3" fillId="5" borderId="20" xfId="0" applyFont="1" applyFill="1" applyBorder="1" applyAlignment="1">
      <alignment horizontal="right"/>
    </xf>
    <xf numFmtId="164" fontId="0" fillId="3" borderId="0" xfId="0" applyNumberFormat="1" applyFill="1" applyAlignment="1">
      <alignment horizontal="center"/>
    </xf>
    <xf numFmtId="0" fontId="0" fillId="5" borderId="17" xfId="0" applyFill="1" applyBorder="1" applyAlignment="1">
      <alignment horizontal="right"/>
    </xf>
    <xf numFmtId="0" fontId="0" fillId="5" borderId="10" xfId="0" applyFill="1" applyBorder="1" applyAlignment="1">
      <alignment horizontal="right"/>
    </xf>
    <xf numFmtId="0" fontId="0" fillId="5" borderId="5" xfId="0" applyFill="1" applyBorder="1" applyAlignment="1">
      <alignment horizontal="right"/>
    </xf>
    <xf numFmtId="0" fontId="0" fillId="5" borderId="14" xfId="0" applyFill="1" applyBorder="1"/>
    <xf numFmtId="2" fontId="0" fillId="5" borderId="6" xfId="0" applyNumberFormat="1" applyFill="1" applyBorder="1" applyAlignment="1">
      <alignment horizontal="right"/>
    </xf>
    <xf numFmtId="2" fontId="0" fillId="5" borderId="0" xfId="0" applyNumberFormat="1" applyFill="1" applyBorder="1" applyAlignment="1">
      <alignment horizontal="right"/>
    </xf>
    <xf numFmtId="0" fontId="0" fillId="5" borderId="7" xfId="0" applyFill="1" applyBorder="1" applyAlignment="1">
      <alignment horizontal="right"/>
    </xf>
    <xf numFmtId="0" fontId="2" fillId="5" borderId="4" xfId="0" applyFont="1" applyFill="1" applyBorder="1" applyAlignment="1">
      <alignment horizontal="center"/>
    </xf>
    <xf numFmtId="0" fontId="0" fillId="5" borderId="0" xfId="0" applyFill="1" applyBorder="1"/>
    <xf numFmtId="0" fontId="0" fillId="5" borderId="1" xfId="0" applyFill="1" applyBorder="1"/>
    <xf numFmtId="2" fontId="0" fillId="5" borderId="2" xfId="0" applyNumberFormat="1" applyFill="1" applyBorder="1" applyAlignment="1">
      <alignment horizontal="right"/>
    </xf>
    <xf numFmtId="2" fontId="0" fillId="5" borderId="9" xfId="0" applyNumberFormat="1" applyFill="1" applyBorder="1" applyAlignment="1">
      <alignment horizontal="right"/>
    </xf>
    <xf numFmtId="0" fontId="0" fillId="5" borderId="11" xfId="0" applyFill="1" applyBorder="1" applyAlignment="1">
      <alignment horizontal="right"/>
    </xf>
    <xf numFmtId="0" fontId="27" fillId="5" borderId="4" xfId="0" applyFont="1" applyFill="1" applyBorder="1" applyAlignment="1">
      <alignment horizontal="left" wrapText="1"/>
    </xf>
    <xf numFmtId="0" fontId="28" fillId="5" borderId="4" xfId="0" applyFont="1" applyFill="1" applyBorder="1" applyAlignment="1">
      <alignment horizontal="center" wrapText="1"/>
    </xf>
    <xf numFmtId="0" fontId="29" fillId="5" borderId="4" xfId="0" applyFont="1" applyFill="1" applyBorder="1" applyAlignment="1">
      <alignment horizontal="center" wrapText="1"/>
    </xf>
    <xf numFmtId="0" fontId="27" fillId="5" borderId="4" xfId="0" applyFont="1" applyFill="1" applyBorder="1" applyAlignment="1">
      <alignment horizontal="center" wrapText="1"/>
    </xf>
    <xf numFmtId="2" fontId="12" fillId="4" borderId="14" xfId="0" applyNumberFormat="1" applyFont="1" applyFill="1" applyBorder="1" applyAlignment="1">
      <alignment horizontal="right"/>
    </xf>
    <xf numFmtId="2" fontId="12" fillId="4" borderId="12" xfId="0" applyNumberFormat="1" applyFont="1" applyFill="1" applyBorder="1" applyAlignment="1">
      <alignment horizontal="right"/>
    </xf>
    <xf numFmtId="2" fontId="12" fillId="4" borderId="0" xfId="0" applyNumberFormat="1" applyFont="1" applyFill="1" applyAlignment="1">
      <alignment horizontal="right"/>
    </xf>
    <xf numFmtId="2" fontId="12" fillId="4" borderId="9" xfId="0" applyNumberFormat="1" applyFont="1" applyFill="1" applyBorder="1" applyAlignment="1">
      <alignment horizontal="right"/>
    </xf>
    <xf numFmtId="2" fontId="12" fillId="4" borderId="11" xfId="0" applyNumberFormat="1" applyFont="1" applyFill="1" applyBorder="1" applyAlignment="1">
      <alignment horizontal="right"/>
    </xf>
    <xf numFmtId="1" fontId="12" fillId="4" borderId="0" xfId="0" applyNumberFormat="1" applyFont="1" applyFill="1" applyAlignment="1">
      <alignment horizontal="right"/>
    </xf>
    <xf numFmtId="164" fontId="12" fillId="4" borderId="14" xfId="0" applyNumberFormat="1" applyFont="1" applyFill="1" applyBorder="1" applyAlignment="1">
      <alignment horizontal="right"/>
    </xf>
    <xf numFmtId="164" fontId="12" fillId="4" borderId="12" xfId="0" applyNumberFormat="1" applyFont="1" applyFill="1" applyBorder="1" applyAlignment="1">
      <alignment horizontal="right"/>
    </xf>
    <xf numFmtId="164" fontId="12" fillId="4" borderId="0" xfId="0" applyNumberFormat="1" applyFont="1" applyFill="1" applyAlignment="1">
      <alignment horizontal="right"/>
    </xf>
    <xf numFmtId="164" fontId="12" fillId="4" borderId="9" xfId="0" applyNumberFormat="1" applyFont="1" applyFill="1" applyBorder="1" applyAlignment="1">
      <alignment horizontal="right"/>
    </xf>
    <xf numFmtId="164" fontId="12" fillId="4" borderId="11" xfId="0" applyNumberFormat="1" applyFont="1" applyFill="1" applyBorder="1" applyAlignment="1">
      <alignment horizontal="right"/>
    </xf>
    <xf numFmtId="2" fontId="12" fillId="4" borderId="0" xfId="0" applyNumberFormat="1" applyFont="1" applyFill="1" applyBorder="1" applyAlignment="1">
      <alignment horizontal="right"/>
    </xf>
    <xf numFmtId="0" fontId="5" fillId="0" borderId="0" xfId="0" applyFont="1" applyFill="1" applyAlignment="1">
      <alignment horizontal="left"/>
    </xf>
    <xf numFmtId="0" fontId="3" fillId="0" borderId="0" xfId="0" applyFont="1" applyFill="1" applyAlignment="1">
      <alignment horizontal="left"/>
    </xf>
    <xf numFmtId="0" fontId="13" fillId="0" borderId="0" xfId="0" applyFont="1" applyFill="1" applyAlignment="1">
      <alignment horizontal="left"/>
    </xf>
    <xf numFmtId="0" fontId="26" fillId="6" borderId="0" xfId="0" applyFont="1" applyFill="1"/>
    <xf numFmtId="0" fontId="0" fillId="6" borderId="0" xfId="0" applyFill="1"/>
    <xf numFmtId="0" fontId="0" fillId="7" borderId="0" xfId="0" applyFill="1"/>
    <xf numFmtId="0" fontId="0" fillId="3" borderId="6" xfId="0" applyFill="1" applyBorder="1"/>
    <xf numFmtId="0" fontId="0" fillId="3" borderId="14" xfId="0" applyFill="1" applyBorder="1" applyAlignment="1">
      <alignment horizontal="center"/>
    </xf>
    <xf numFmtId="0" fontId="1" fillId="3" borderId="14" xfId="0" applyFont="1" applyFill="1" applyBorder="1" applyAlignment="1">
      <alignment horizontal="right"/>
    </xf>
    <xf numFmtId="2" fontId="0" fillId="3" borderId="13" xfId="0" applyNumberFormat="1" applyFill="1" applyBorder="1" applyAlignment="1">
      <alignment horizontal="right"/>
    </xf>
    <xf numFmtId="164" fontId="0" fillId="3" borderId="14" xfId="0" applyNumberFormat="1" applyFill="1" applyBorder="1" applyAlignment="1">
      <alignment horizontal="right"/>
    </xf>
    <xf numFmtId="2" fontId="34" fillId="3" borderId="14" xfId="0" applyNumberFormat="1" applyFont="1" applyFill="1" applyBorder="1" applyAlignment="1">
      <alignment horizontal="right"/>
    </xf>
    <xf numFmtId="0" fontId="1" fillId="3" borderId="0" xfId="0" applyFont="1" applyFill="1" applyBorder="1"/>
    <xf numFmtId="0" fontId="0" fillId="3" borderId="0" xfId="0" applyFill="1" applyAlignment="1">
      <alignment horizontal="center"/>
    </xf>
    <xf numFmtId="0" fontId="1" fillId="3" borderId="0" xfId="0" applyFont="1" applyFill="1" applyAlignment="1">
      <alignment horizontal="right"/>
    </xf>
    <xf numFmtId="2" fontId="0" fillId="3" borderId="2" xfId="0" applyNumberFormat="1" applyFill="1" applyBorder="1" applyAlignment="1">
      <alignment horizontal="right"/>
    </xf>
    <xf numFmtId="0" fontId="1" fillId="3" borderId="9" xfId="0" applyFont="1" applyFill="1" applyBorder="1" applyAlignment="1">
      <alignment horizontal="right"/>
    </xf>
    <xf numFmtId="0" fontId="1" fillId="3" borderId="0" xfId="0" applyFont="1" applyFill="1" applyBorder="1" applyAlignment="1">
      <alignment horizontal="right"/>
    </xf>
    <xf numFmtId="2" fontId="34" fillId="3" borderId="0" xfId="0" applyNumberFormat="1" applyFont="1" applyFill="1" applyAlignment="1">
      <alignment horizontal="right"/>
    </xf>
    <xf numFmtId="164" fontId="0" fillId="3" borderId="13" xfId="0" applyNumberFormat="1" applyFill="1" applyBorder="1" applyAlignment="1">
      <alignment horizontal="right"/>
    </xf>
    <xf numFmtId="164" fontId="1" fillId="3" borderId="14" xfId="0" applyNumberFormat="1" applyFont="1" applyFill="1" applyBorder="1" applyAlignment="1">
      <alignment horizontal="right"/>
    </xf>
    <xf numFmtId="164" fontId="0" fillId="3" borderId="2" xfId="0" applyNumberFormat="1" applyFill="1" applyBorder="1" applyAlignment="1">
      <alignment horizontal="right"/>
    </xf>
    <xf numFmtId="2" fontId="0" fillId="3" borderId="0" xfId="0" applyNumberFormat="1" applyFill="1" applyBorder="1" applyAlignment="1">
      <alignment horizontal="right"/>
    </xf>
    <xf numFmtId="0" fontId="1" fillId="3" borderId="0" xfId="0" applyFont="1" applyFill="1" applyAlignment="1">
      <alignment horizontal="left"/>
    </xf>
    <xf numFmtId="2" fontId="12" fillId="3" borderId="0" xfId="0" applyNumberFormat="1" applyFont="1" applyFill="1" applyAlignment="1">
      <alignment horizontal="right"/>
    </xf>
    <xf numFmtId="166" fontId="1" fillId="3" borderId="0" xfId="0" applyNumberFormat="1" applyFont="1" applyFill="1" applyBorder="1" applyAlignment="1">
      <alignment horizontal="right"/>
    </xf>
    <xf numFmtId="2" fontId="21" fillId="3" borderId="0" xfId="0" applyNumberFormat="1" applyFont="1" applyFill="1" applyAlignment="1">
      <alignment horizontal="right"/>
    </xf>
    <xf numFmtId="2" fontId="21" fillId="3" borderId="0" xfId="0" applyNumberFormat="1" applyFont="1" applyFill="1"/>
    <xf numFmtId="2" fontId="2" fillId="3" borderId="0" xfId="0" applyNumberFormat="1" applyFont="1" applyFill="1" applyAlignment="1">
      <alignment horizontal="right"/>
    </xf>
    <xf numFmtId="2" fontId="12" fillId="3" borderId="0" xfId="0" applyNumberFormat="1" applyFont="1" applyFill="1"/>
    <xf numFmtId="164" fontId="12" fillId="3" borderId="0" xfId="0" applyNumberFormat="1" applyFont="1" applyFill="1"/>
    <xf numFmtId="1" fontId="0" fillId="3" borderId="0" xfId="0" applyNumberFormat="1" applyFill="1"/>
    <xf numFmtId="0" fontId="21" fillId="3" borderId="0" xfId="0" applyFont="1" applyFill="1" applyAlignment="1">
      <alignment horizontal="right"/>
    </xf>
    <xf numFmtId="166" fontId="12" fillId="3" borderId="0" xfId="0" applyNumberFormat="1" applyFont="1" applyFill="1"/>
    <xf numFmtId="0" fontId="0" fillId="5" borderId="6" xfId="0" applyFill="1" applyBorder="1"/>
    <xf numFmtId="164" fontId="12" fillId="4" borderId="7" xfId="0" applyNumberFormat="1" applyFont="1" applyFill="1" applyBorder="1" applyAlignment="1">
      <alignment horizontal="right"/>
    </xf>
    <xf numFmtId="2" fontId="39" fillId="3" borderId="0" xfId="0" applyNumberFormat="1" applyFont="1" applyFill="1" applyAlignment="1">
      <alignment horizontal="right"/>
    </xf>
    <xf numFmtId="0" fontId="39" fillId="3" borderId="0" xfId="0" applyFont="1" applyFill="1" applyAlignment="1">
      <alignment horizontal="right"/>
    </xf>
    <xf numFmtId="164" fontId="39" fillId="3" borderId="0" xfId="0" applyNumberFormat="1" applyFont="1" applyFill="1" applyAlignment="1">
      <alignment horizontal="right"/>
    </xf>
    <xf numFmtId="2" fontId="12" fillId="4" borderId="7" xfId="0" applyNumberFormat="1" applyFont="1" applyFill="1" applyBorder="1" applyAlignment="1">
      <alignment horizontal="right"/>
    </xf>
    <xf numFmtId="0" fontId="0" fillId="5" borderId="2" xfId="0" applyFill="1" applyBorder="1"/>
    <xf numFmtId="0" fontId="0" fillId="5" borderId="9" xfId="0" applyFill="1" applyBorder="1"/>
    <xf numFmtId="2" fontId="34" fillId="3" borderId="5" xfId="0" applyNumberFormat="1" applyFont="1" applyFill="1" applyBorder="1" applyAlignment="1"/>
    <xf numFmtId="0" fontId="39" fillId="3" borderId="0" xfId="0" applyFont="1" applyFill="1"/>
    <xf numFmtId="165" fontId="39" fillId="3" borderId="0" xfId="0" applyNumberFormat="1" applyFont="1" applyFill="1" applyAlignment="1">
      <alignment horizontal="right"/>
    </xf>
    <xf numFmtId="165" fontId="0" fillId="3" borderId="0" xfId="0" applyNumberFormat="1" applyFill="1" applyBorder="1" applyAlignment="1">
      <alignment horizontal="right"/>
    </xf>
    <xf numFmtId="1" fontId="12" fillId="4" borderId="9" xfId="0" applyNumberFormat="1" applyFont="1" applyFill="1" applyBorder="1" applyAlignment="1">
      <alignment horizontal="right"/>
    </xf>
    <xf numFmtId="0" fontId="0" fillId="5" borderId="1" xfId="0" applyFill="1" applyBorder="1" applyAlignment="1">
      <alignment horizontal="center"/>
    </xf>
    <xf numFmtId="0" fontId="2" fillId="5" borderId="8" xfId="0" applyFont="1" applyFill="1" applyBorder="1" applyAlignment="1">
      <alignment horizontal="center"/>
    </xf>
    <xf numFmtId="164" fontId="3" fillId="3" borderId="14" xfId="0" applyNumberFormat="1" applyFont="1" applyFill="1" applyBorder="1"/>
    <xf numFmtId="164" fontId="12" fillId="4" borderId="0" xfId="0" applyNumberFormat="1" applyFont="1" applyFill="1" applyBorder="1" applyAlignment="1">
      <alignment horizontal="right"/>
    </xf>
    <xf numFmtId="0" fontId="3" fillId="3" borderId="2" xfId="0" applyFont="1" applyFill="1" applyBorder="1" applyAlignment="1">
      <alignment horizontal="right"/>
    </xf>
    <xf numFmtId="2" fontId="53" fillId="4" borderId="13" xfId="0" applyNumberFormat="1" applyFont="1" applyFill="1" applyBorder="1"/>
    <xf numFmtId="2" fontId="53" fillId="4" borderId="14" xfId="0" applyNumberFormat="1" applyFont="1" applyFill="1" applyBorder="1"/>
    <xf numFmtId="2" fontId="53" fillId="4" borderId="6" xfId="0" applyNumberFormat="1" applyFont="1" applyFill="1" applyBorder="1"/>
    <xf numFmtId="2" fontId="53" fillId="4" borderId="0" xfId="0" applyNumberFormat="1" applyFont="1" applyFill="1" applyBorder="1"/>
    <xf numFmtId="0" fontId="1" fillId="3" borderId="1" xfId="0" applyFont="1" applyFill="1" applyBorder="1"/>
    <xf numFmtId="0" fontId="38" fillId="3" borderId="3" xfId="0" applyFont="1" applyFill="1" applyBorder="1" applyAlignment="1">
      <alignment horizontal="right"/>
    </xf>
    <xf numFmtId="0" fontId="42" fillId="3" borderId="1" xfId="0" applyFont="1" applyFill="1" applyBorder="1"/>
    <xf numFmtId="0" fontId="22" fillId="3" borderId="3" xfId="0" applyFont="1" applyFill="1" applyBorder="1" applyAlignment="1">
      <alignment horizontal="right"/>
    </xf>
    <xf numFmtId="0" fontId="22" fillId="3" borderId="0" xfId="0" applyFont="1" applyFill="1"/>
    <xf numFmtId="0" fontId="31" fillId="3" borderId="2" xfId="0" applyFont="1" applyFill="1" applyBorder="1" applyAlignment="1">
      <alignment horizontal="right" wrapText="1"/>
    </xf>
    <xf numFmtId="164" fontId="22" fillId="3" borderId="4" xfId="0" applyNumberFormat="1" applyFont="1" applyFill="1" applyBorder="1" applyAlignment="1">
      <alignment horizontal="left"/>
    </xf>
    <xf numFmtId="0" fontId="31" fillId="3" borderId="1" xfId="0" applyFont="1" applyFill="1" applyBorder="1" applyAlignment="1">
      <alignment horizontal="right" wrapText="1"/>
    </xf>
    <xf numFmtId="164" fontId="22" fillId="3" borderId="4" xfId="0" applyNumberFormat="1" applyFont="1" applyFill="1" applyBorder="1" applyAlignment="1">
      <alignment horizontal="right"/>
    </xf>
    <xf numFmtId="0" fontId="22" fillId="3" borderId="2" xfId="0" applyFont="1" applyFill="1" applyBorder="1" applyAlignment="1">
      <alignment horizontal="right"/>
    </xf>
    <xf numFmtId="2" fontId="22" fillId="3" borderId="4" xfId="0" applyNumberFormat="1" applyFont="1" applyFill="1" applyBorder="1" applyAlignment="1">
      <alignment horizontal="center"/>
    </xf>
    <xf numFmtId="0" fontId="54" fillId="3" borderId="0" xfId="0" applyFont="1" applyFill="1"/>
    <xf numFmtId="2" fontId="54" fillId="3" borderId="0" xfId="0" applyNumberFormat="1" applyFont="1" applyFill="1" applyAlignment="1">
      <alignment horizontal="right"/>
    </xf>
    <xf numFmtId="2" fontId="55" fillId="3" borderId="0" xfId="0" applyNumberFormat="1" applyFont="1" applyFill="1" applyAlignment="1">
      <alignment horizontal="right"/>
    </xf>
    <xf numFmtId="0" fontId="54" fillId="3" borderId="0" xfId="0" applyFont="1" applyFill="1" applyAlignment="1">
      <alignment horizontal="right"/>
    </xf>
    <xf numFmtId="164" fontId="54" fillId="3" borderId="0" xfId="0" applyNumberFormat="1" applyFont="1" applyFill="1" applyAlignment="1">
      <alignment horizontal="right"/>
    </xf>
    <xf numFmtId="1" fontId="54" fillId="3" borderId="0" xfId="0" applyNumberFormat="1" applyFont="1" applyFill="1" applyAlignment="1">
      <alignment horizontal="right"/>
    </xf>
    <xf numFmtId="1" fontId="54" fillId="3" borderId="0" xfId="0" applyNumberFormat="1" applyFont="1" applyFill="1" applyAlignment="1">
      <alignment horizontal="center"/>
    </xf>
    <xf numFmtId="0" fontId="54" fillId="3" borderId="0" xfId="0" applyFont="1" applyFill="1" applyBorder="1" applyAlignment="1">
      <alignment horizontal="right"/>
    </xf>
    <xf numFmtId="2" fontId="54" fillId="3" borderId="0" xfId="0" applyNumberFormat="1" applyFont="1" applyFill="1" applyBorder="1" applyAlignment="1">
      <alignment horizontal="right"/>
    </xf>
    <xf numFmtId="166" fontId="54" fillId="3" borderId="0" xfId="0" applyNumberFormat="1" applyFont="1" applyFill="1" applyAlignment="1">
      <alignment horizontal="right"/>
    </xf>
    <xf numFmtId="1" fontId="1" fillId="4" borderId="3" xfId="0" applyNumberFormat="1" applyFont="1" applyFill="1" applyBorder="1" applyAlignment="1">
      <alignment horizontal="center"/>
    </xf>
    <xf numFmtId="0" fontId="0" fillId="3" borderId="1" xfId="0" applyFill="1" applyBorder="1"/>
    <xf numFmtId="0" fontId="0" fillId="3" borderId="3" xfId="0" applyFill="1" applyBorder="1" applyAlignment="1">
      <alignment horizontal="right"/>
    </xf>
    <xf numFmtId="1" fontId="1" fillId="4" borderId="0" xfId="0" applyNumberFormat="1" applyFont="1" applyFill="1" applyBorder="1" applyAlignment="1">
      <alignment horizontal="center"/>
    </xf>
    <xf numFmtId="0" fontId="1" fillId="3" borderId="3" xfId="0" applyFont="1" applyFill="1" applyBorder="1" applyAlignment="1">
      <alignment horizontal="right"/>
    </xf>
    <xf numFmtId="164" fontId="11" fillId="4" borderId="3" xfId="0" applyNumberFormat="1" applyFont="1" applyFill="1" applyBorder="1" applyAlignment="1">
      <alignment horizontal="center"/>
    </xf>
    <xf numFmtId="0" fontId="8" fillId="3" borderId="2" xfId="0" applyFont="1" applyFill="1" applyBorder="1" applyAlignment="1">
      <alignment horizontal="right" wrapText="1"/>
    </xf>
    <xf numFmtId="164" fontId="12" fillId="4" borderId="4" xfId="0" applyNumberFormat="1" applyFont="1" applyFill="1" applyBorder="1" applyAlignment="1">
      <alignment horizontal="left"/>
    </xf>
    <xf numFmtId="0" fontId="8" fillId="3" borderId="1" xfId="0" applyFont="1" applyFill="1" applyBorder="1" applyAlignment="1">
      <alignment horizontal="right" wrapText="1"/>
    </xf>
    <xf numFmtId="164" fontId="12" fillId="4" borderId="4" xfId="0" applyNumberFormat="1" applyFont="1" applyFill="1" applyBorder="1" applyAlignment="1">
      <alignment horizontal="right"/>
    </xf>
    <xf numFmtId="0" fontId="1" fillId="3" borderId="2" xfId="0" applyFont="1" applyFill="1" applyBorder="1" applyAlignment="1">
      <alignment horizontal="right"/>
    </xf>
    <xf numFmtId="164" fontId="12" fillId="4" borderId="5" xfId="0" applyNumberFormat="1" applyFont="1" applyFill="1" applyBorder="1" applyAlignment="1">
      <alignment horizontal="center"/>
    </xf>
    <xf numFmtId="0" fontId="26" fillId="5" borderId="4" xfId="0" applyFont="1" applyFill="1" applyBorder="1" applyAlignment="1">
      <alignment horizontal="center" wrapText="1"/>
    </xf>
    <xf numFmtId="0" fontId="3" fillId="3" borderId="3" xfId="0" applyFont="1" applyFill="1" applyBorder="1" applyAlignment="1">
      <alignment horizontal="right"/>
    </xf>
    <xf numFmtId="1" fontId="42" fillId="4" borderId="3" xfId="0" applyNumberFormat="1" applyFont="1" applyFill="1" applyBorder="1" applyAlignment="1">
      <alignment horizontal="center"/>
    </xf>
    <xf numFmtId="1" fontId="3" fillId="4" borderId="4" xfId="0" applyNumberFormat="1" applyFont="1" applyFill="1" applyBorder="1" applyAlignment="1">
      <alignment horizontal="center"/>
    </xf>
    <xf numFmtId="164" fontId="12" fillId="4" borderId="4" xfId="0" applyNumberFormat="1" applyFont="1" applyFill="1" applyBorder="1" applyAlignment="1">
      <alignment horizontal="center"/>
    </xf>
    <xf numFmtId="2" fontId="11" fillId="4" borderId="3" xfId="0" applyNumberFormat="1" applyFont="1" applyFill="1" applyBorder="1" applyAlignment="1">
      <alignment horizontal="center"/>
    </xf>
    <xf numFmtId="2" fontId="12" fillId="4" borderId="4" xfId="0" applyNumberFormat="1" applyFont="1" applyFill="1" applyBorder="1" applyAlignment="1">
      <alignment horizontal="left"/>
    </xf>
    <xf numFmtId="2" fontId="12" fillId="4" borderId="4" xfId="0" applyNumberFormat="1" applyFont="1" applyFill="1" applyBorder="1" applyAlignment="1">
      <alignment horizontal="right"/>
    </xf>
    <xf numFmtId="2" fontId="12" fillId="4" borderId="4" xfId="0" applyNumberFormat="1" applyFont="1" applyFill="1" applyBorder="1" applyAlignment="1">
      <alignment horizontal="center"/>
    </xf>
    <xf numFmtId="2" fontId="12" fillId="4" borderId="3" xfId="0" applyNumberFormat="1" applyFont="1" applyFill="1" applyBorder="1" applyAlignment="1">
      <alignment horizontal="center"/>
    </xf>
    <xf numFmtId="0" fontId="8" fillId="3" borderId="0" xfId="0" applyFont="1" applyFill="1" applyBorder="1" applyAlignment="1">
      <alignment horizontal="right" wrapText="1"/>
    </xf>
    <xf numFmtId="0" fontId="17" fillId="3" borderId="0" xfId="0" quotePrefix="1" applyFont="1" applyFill="1" applyBorder="1" applyAlignment="1">
      <alignment horizontal="right"/>
    </xf>
    <xf numFmtId="0" fontId="18" fillId="3" borderId="0" xfId="0" quotePrefix="1" applyFont="1" applyFill="1" applyBorder="1" applyAlignment="1">
      <alignment horizontal="right"/>
    </xf>
    <xf numFmtId="0" fontId="10" fillId="3" borderId="0" xfId="0" applyFont="1" applyFill="1" applyBorder="1" applyAlignment="1">
      <alignment horizontal="right" vertical="center" wrapText="1"/>
    </xf>
    <xf numFmtId="0" fontId="0" fillId="3" borderId="0" xfId="0" applyFill="1" applyBorder="1" applyAlignment="1">
      <alignment horizontal="right" vertical="center" wrapText="1"/>
    </xf>
    <xf numFmtId="2" fontId="12" fillId="3" borderId="0" xfId="0" applyNumberFormat="1" applyFont="1" applyFill="1" applyBorder="1" applyAlignment="1">
      <alignment horizontal="right"/>
    </xf>
    <xf numFmtId="0" fontId="8" fillId="3" borderId="5" xfId="0" applyFont="1" applyFill="1" applyBorder="1" applyAlignment="1">
      <alignment horizontal="right"/>
    </xf>
    <xf numFmtId="0" fontId="8" fillId="3" borderId="0" xfId="0" applyFont="1" applyFill="1" applyBorder="1"/>
    <xf numFmtId="0" fontId="2" fillId="3" borderId="8" xfId="0" applyFont="1" applyFill="1" applyBorder="1" applyAlignment="1">
      <alignment horizontal="left"/>
    </xf>
    <xf numFmtId="2" fontId="12" fillId="4" borderId="12" xfId="0" applyNumberFormat="1" applyFont="1" applyFill="1" applyBorder="1" applyAlignment="1">
      <alignment horizontal="center"/>
    </xf>
    <xf numFmtId="0" fontId="2" fillId="3" borderId="1" xfId="0" applyFont="1" applyFill="1" applyBorder="1" applyAlignment="1">
      <alignment horizontal="left"/>
    </xf>
    <xf numFmtId="0" fontId="8" fillId="3" borderId="4" xfId="0" applyFont="1" applyFill="1" applyBorder="1" applyAlignment="1">
      <alignment horizontal="right" wrapText="1"/>
    </xf>
    <xf numFmtId="0" fontId="30" fillId="3" borderId="1" xfId="0" applyFont="1" applyFill="1" applyBorder="1" applyAlignment="1">
      <alignment horizontal="left"/>
    </xf>
    <xf numFmtId="0" fontId="30" fillId="3" borderId="8" xfId="0" applyFont="1" applyFill="1" applyBorder="1" applyAlignment="1">
      <alignment horizontal="left"/>
    </xf>
    <xf numFmtId="0" fontId="21" fillId="3" borderId="1" xfId="0" applyFont="1" applyFill="1" applyBorder="1"/>
    <xf numFmtId="0" fontId="2" fillId="3" borderId="3" xfId="0" applyFont="1" applyFill="1" applyBorder="1" applyAlignment="1">
      <alignment horizontal="left"/>
    </xf>
    <xf numFmtId="0" fontId="30" fillId="3" borderId="3" xfId="0" applyFont="1" applyFill="1" applyBorder="1" applyAlignment="1">
      <alignment horizontal="left"/>
    </xf>
    <xf numFmtId="164" fontId="12" fillId="4" borderId="12" xfId="0" applyNumberFormat="1" applyFont="1" applyFill="1" applyBorder="1" applyAlignment="1">
      <alignment horizontal="center"/>
    </xf>
    <xf numFmtId="164" fontId="22" fillId="3" borderId="12" xfId="0" applyNumberFormat="1" applyFont="1" applyFill="1" applyBorder="1" applyAlignment="1">
      <alignment horizontal="center"/>
    </xf>
    <xf numFmtId="2" fontId="12" fillId="3" borderId="0" xfId="0" applyNumberFormat="1" applyFont="1" applyFill="1" applyBorder="1" applyAlignment="1">
      <alignment horizontal="left"/>
    </xf>
    <xf numFmtId="0" fontId="58" fillId="5" borderId="4" xfId="0" applyFont="1" applyFill="1" applyBorder="1" applyAlignment="1">
      <alignment horizontal="center" wrapText="1"/>
    </xf>
    <xf numFmtId="0" fontId="54" fillId="3" borderId="1" xfId="0" applyFont="1" applyFill="1" applyBorder="1"/>
    <xf numFmtId="0" fontId="59" fillId="3" borderId="3" xfId="0" applyFont="1" applyFill="1" applyBorder="1" applyAlignment="1">
      <alignment horizontal="right"/>
    </xf>
    <xf numFmtId="1" fontId="54" fillId="3" borderId="3" xfId="0" applyNumberFormat="1" applyFont="1" applyFill="1" applyBorder="1" applyAlignment="1">
      <alignment horizontal="center"/>
    </xf>
    <xf numFmtId="0" fontId="54" fillId="3" borderId="3" xfId="0" applyFont="1" applyFill="1" applyBorder="1" applyAlignment="1">
      <alignment horizontal="right"/>
    </xf>
    <xf numFmtId="1" fontId="54" fillId="3" borderId="4" xfId="0" applyNumberFormat="1" applyFont="1" applyFill="1" applyBorder="1" applyAlignment="1">
      <alignment horizontal="center"/>
    </xf>
    <xf numFmtId="1" fontId="54" fillId="3" borderId="0" xfId="0" applyNumberFormat="1" applyFont="1" applyFill="1" applyBorder="1" applyAlignment="1">
      <alignment horizontal="center"/>
    </xf>
    <xf numFmtId="164" fontId="55" fillId="3" borderId="3" xfId="0" applyNumberFormat="1" applyFont="1" applyFill="1" applyBorder="1" applyAlignment="1">
      <alignment horizontal="center"/>
    </xf>
    <xf numFmtId="0" fontId="59" fillId="3" borderId="2" xfId="0" applyFont="1" applyFill="1" applyBorder="1" applyAlignment="1">
      <alignment horizontal="right" wrapText="1"/>
    </xf>
    <xf numFmtId="164" fontId="54" fillId="3" borderId="4" xfId="0" applyNumberFormat="1" applyFont="1" applyFill="1" applyBorder="1" applyAlignment="1">
      <alignment horizontal="left"/>
    </xf>
    <xf numFmtId="0" fontId="59" fillId="3" borderId="1" xfId="0" applyFont="1" applyFill="1" applyBorder="1" applyAlignment="1">
      <alignment horizontal="right" wrapText="1"/>
    </xf>
    <xf numFmtId="164" fontId="54" fillId="3" borderId="4" xfId="0" applyNumberFormat="1" applyFont="1" applyFill="1" applyBorder="1" applyAlignment="1">
      <alignment horizontal="right"/>
    </xf>
    <xf numFmtId="0" fontId="54" fillId="3" borderId="2" xfId="0" applyFont="1" applyFill="1" applyBorder="1" applyAlignment="1">
      <alignment horizontal="right"/>
    </xf>
    <xf numFmtId="164" fontId="54" fillId="3" borderId="5" xfId="0" applyNumberFormat="1" applyFont="1" applyFill="1" applyBorder="1" applyAlignment="1">
      <alignment horizontal="center"/>
    </xf>
    <xf numFmtId="0" fontId="61" fillId="3" borderId="1" xfId="0" quotePrefix="1" applyFont="1" applyFill="1" applyBorder="1" applyAlignment="1">
      <alignment horizontal="right"/>
    </xf>
    <xf numFmtId="2" fontId="54" fillId="3" borderId="4" xfId="0" applyNumberFormat="1" applyFont="1" applyFill="1" applyBorder="1" applyAlignment="1">
      <alignment horizontal="center"/>
    </xf>
    <xf numFmtId="0" fontId="61" fillId="3" borderId="2" xfId="0" quotePrefix="1" applyFont="1" applyFill="1" applyBorder="1" applyAlignment="1">
      <alignment horizontal="right"/>
    </xf>
    <xf numFmtId="1" fontId="54" fillId="3" borderId="10" xfId="0" applyNumberFormat="1" applyFont="1" applyFill="1" applyBorder="1" applyAlignment="1">
      <alignment horizontal="center"/>
    </xf>
    <xf numFmtId="1" fontId="62" fillId="3" borderId="5" xfId="0" applyNumberFormat="1" applyFont="1" applyFill="1" applyBorder="1" applyAlignment="1">
      <alignment horizontal="center" vertical="center" wrapText="1"/>
    </xf>
    <xf numFmtId="0" fontId="59" fillId="3" borderId="1" xfId="0" applyFont="1" applyFill="1" applyBorder="1"/>
    <xf numFmtId="0" fontId="59" fillId="3" borderId="0" xfId="0" applyFont="1" applyFill="1" applyBorder="1" applyAlignment="1">
      <alignment horizontal="right"/>
    </xf>
    <xf numFmtId="0" fontId="54" fillId="3" borderId="8" xfId="0" applyFont="1" applyFill="1" applyBorder="1"/>
    <xf numFmtId="0" fontId="54" fillId="3" borderId="3" xfId="0" applyFont="1" applyFill="1" applyBorder="1"/>
    <xf numFmtId="0" fontId="54" fillId="3" borderId="8" xfId="0" applyFont="1" applyFill="1" applyBorder="1" applyAlignment="1">
      <alignment horizontal="right"/>
    </xf>
    <xf numFmtId="164" fontId="54" fillId="3" borderId="4" xfId="0" applyNumberFormat="1" applyFont="1" applyFill="1" applyBorder="1" applyAlignment="1">
      <alignment horizontal="center"/>
    </xf>
    <xf numFmtId="164" fontId="54" fillId="3" borderId="3" xfId="0" applyNumberFormat="1" applyFont="1" applyFill="1" applyBorder="1" applyAlignment="1">
      <alignment horizontal="center"/>
    </xf>
    <xf numFmtId="164" fontId="54" fillId="3" borderId="4" xfId="0" applyNumberFormat="1" applyFont="1" applyFill="1" applyBorder="1"/>
    <xf numFmtId="0" fontId="1" fillId="5" borderId="3" xfId="0" applyFont="1" applyFill="1" applyBorder="1" applyAlignment="1">
      <alignment horizontal="right"/>
    </xf>
    <xf numFmtId="0" fontId="2" fillId="5" borderId="1" xfId="0" applyFont="1" applyFill="1" applyBorder="1" applyAlignment="1">
      <alignment horizontal="center"/>
    </xf>
    <xf numFmtId="0" fontId="23" fillId="5" borderId="11" xfId="0" applyFont="1" applyFill="1" applyBorder="1" applyAlignment="1">
      <alignment horizontal="right" vertical="top"/>
    </xf>
    <xf numFmtId="0" fontId="23" fillId="8" borderId="11" xfId="0" applyFont="1" applyFill="1" applyBorder="1" applyAlignment="1">
      <alignment horizontal="right" vertical="top"/>
    </xf>
    <xf numFmtId="0" fontId="1" fillId="9" borderId="3" xfId="0" applyFont="1" applyFill="1" applyBorder="1" applyAlignment="1">
      <alignment horizontal="right"/>
    </xf>
    <xf numFmtId="0" fontId="2" fillId="8" borderId="0" xfId="0" applyFont="1" applyFill="1"/>
    <xf numFmtId="0" fontId="2" fillId="8" borderId="0" xfId="0" applyFont="1" applyFill="1" applyAlignment="1"/>
    <xf numFmtId="0" fontId="1" fillId="8" borderId="0" xfId="0" applyFont="1" applyFill="1" applyAlignment="1"/>
    <xf numFmtId="0" fontId="3" fillId="9" borderId="1" xfId="0" applyFont="1" applyFill="1" applyBorder="1"/>
    <xf numFmtId="0" fontId="3" fillId="9" borderId="8" xfId="0" applyFont="1" applyFill="1" applyBorder="1"/>
    <xf numFmtId="0" fontId="3" fillId="9" borderId="3" xfId="0" applyFont="1" applyFill="1" applyBorder="1" applyAlignment="1">
      <alignment horizontal="right"/>
    </xf>
    <xf numFmtId="0" fontId="1" fillId="5" borderId="13" xfId="0" applyFont="1" applyFill="1" applyBorder="1" applyAlignment="1">
      <alignment horizontal="left" vertical="center"/>
    </xf>
    <xf numFmtId="0" fontId="1" fillId="5" borderId="2" xfId="0" applyFont="1" applyFill="1" applyBorder="1" applyAlignment="1">
      <alignment horizontal="left" vertical="center"/>
    </xf>
    <xf numFmtId="0" fontId="0" fillId="5" borderId="7" xfId="0" applyFill="1" applyBorder="1"/>
    <xf numFmtId="0" fontId="67" fillId="3" borderId="0" xfId="0" applyFont="1" applyFill="1" applyBorder="1" applyAlignment="1">
      <alignment horizontal="right"/>
    </xf>
    <xf numFmtId="0" fontId="67" fillId="3" borderId="0" xfId="0" applyFont="1" applyFill="1" applyAlignment="1">
      <alignment horizontal="right"/>
    </xf>
    <xf numFmtId="2" fontId="67" fillId="3" borderId="0" xfId="0" applyNumberFormat="1" applyFont="1" applyFill="1" applyAlignment="1">
      <alignment horizontal="right"/>
    </xf>
    <xf numFmtId="1" fontId="67" fillId="3" borderId="0" xfId="0" applyNumberFormat="1" applyFont="1" applyFill="1" applyAlignment="1">
      <alignment horizontal="right"/>
    </xf>
    <xf numFmtId="166" fontId="12" fillId="4" borderId="14" xfId="0" applyNumberFormat="1" applyFont="1" applyFill="1" applyBorder="1" applyAlignment="1">
      <alignment horizontal="right"/>
    </xf>
    <xf numFmtId="166" fontId="12" fillId="4" borderId="12" xfId="0" applyNumberFormat="1" applyFont="1" applyFill="1" applyBorder="1" applyAlignment="1">
      <alignment horizontal="right"/>
    </xf>
    <xf numFmtId="0" fontId="67" fillId="3" borderId="13" xfId="0" applyFont="1" applyFill="1" applyBorder="1" applyAlignment="1">
      <alignment horizontal="right"/>
    </xf>
    <xf numFmtId="166" fontId="67" fillId="3" borderId="14" xfId="0" applyNumberFormat="1" applyFont="1" applyFill="1" applyBorder="1"/>
    <xf numFmtId="166" fontId="67" fillId="3" borderId="12" xfId="0" applyNumberFormat="1" applyFont="1" applyFill="1" applyBorder="1" applyAlignment="1">
      <alignment horizontal="right"/>
    </xf>
    <xf numFmtId="1" fontId="67" fillId="3" borderId="12" xfId="0" applyNumberFormat="1" applyFont="1" applyFill="1" applyBorder="1"/>
    <xf numFmtId="0" fontId="67" fillId="3" borderId="6" xfId="0" applyFont="1" applyFill="1" applyBorder="1" applyAlignment="1">
      <alignment horizontal="right"/>
    </xf>
    <xf numFmtId="166" fontId="67" fillId="3" borderId="0" xfId="0" applyNumberFormat="1" applyFont="1" applyFill="1" applyBorder="1" applyAlignment="1">
      <alignment horizontal="right"/>
    </xf>
    <xf numFmtId="166" fontId="67" fillId="3" borderId="7" xfId="0" applyNumberFormat="1" applyFont="1" applyFill="1" applyBorder="1" applyAlignment="1">
      <alignment horizontal="right"/>
    </xf>
    <xf numFmtId="2" fontId="67" fillId="3" borderId="7" xfId="0" applyNumberFormat="1" applyFont="1" applyFill="1" applyBorder="1" applyAlignment="1">
      <alignment horizontal="right"/>
    </xf>
    <xf numFmtId="2" fontId="67" fillId="3" borderId="2" xfId="0" applyNumberFormat="1" applyFont="1" applyFill="1" applyBorder="1" applyAlignment="1">
      <alignment horizontal="right"/>
    </xf>
    <xf numFmtId="166" fontId="67" fillId="3" borderId="9" xfId="0" applyNumberFormat="1" applyFont="1" applyFill="1" applyBorder="1" applyAlignment="1">
      <alignment horizontal="right"/>
    </xf>
    <xf numFmtId="166" fontId="67" fillId="3" borderId="11" xfId="0" applyNumberFormat="1" applyFont="1" applyFill="1" applyBorder="1" applyAlignment="1">
      <alignment horizontal="right"/>
    </xf>
    <xf numFmtId="165" fontId="67" fillId="3" borderId="11" xfId="0" applyNumberFormat="1" applyFont="1" applyFill="1" applyBorder="1" applyAlignment="1">
      <alignment horizontal="right"/>
    </xf>
    <xf numFmtId="166" fontId="67" fillId="3" borderId="14" xfId="0" applyNumberFormat="1" applyFont="1" applyFill="1" applyBorder="1" applyAlignment="1">
      <alignment horizontal="right"/>
    </xf>
    <xf numFmtId="1" fontId="67" fillId="3" borderId="10" xfId="0" applyNumberFormat="1" applyFont="1" applyFill="1" applyBorder="1"/>
    <xf numFmtId="2" fontId="67" fillId="3" borderId="17" xfId="0" applyNumberFormat="1" applyFont="1" applyFill="1" applyBorder="1" applyAlignment="1">
      <alignment horizontal="right"/>
    </xf>
    <xf numFmtId="165" fontId="67" fillId="3" borderId="5" xfId="0" applyNumberFormat="1" applyFont="1" applyFill="1" applyBorder="1" applyAlignment="1">
      <alignment horizontal="right"/>
    </xf>
    <xf numFmtId="0" fontId="2" fillId="5" borderId="3" xfId="0" applyFont="1" applyFill="1" applyBorder="1" applyAlignment="1">
      <alignment horizontal="right"/>
    </xf>
    <xf numFmtId="0" fontId="29" fillId="5" borderId="4" xfId="0" applyFont="1" applyFill="1" applyBorder="1" applyAlignment="1">
      <alignment horizontal="center" wrapText="1"/>
    </xf>
    <xf numFmtId="0" fontId="54" fillId="3" borderId="0" xfId="0" applyFont="1" applyFill="1" applyAlignment="1">
      <alignment horizontal="center"/>
    </xf>
    <xf numFmtId="0" fontId="26" fillId="3" borderId="6" xfId="0" applyFont="1" applyFill="1" applyBorder="1"/>
    <xf numFmtId="0" fontId="23" fillId="5" borderId="11" xfId="0" quotePrefix="1" applyFont="1" applyFill="1" applyBorder="1" applyAlignment="1">
      <alignment horizontal="right" vertical="top"/>
    </xf>
    <xf numFmtId="0" fontId="69" fillId="3" borderId="2" xfId="0" applyFont="1" applyFill="1" applyBorder="1"/>
    <xf numFmtId="164" fontId="3" fillId="3" borderId="0" xfId="0" applyNumberFormat="1" applyFont="1" applyFill="1" applyAlignment="1">
      <alignment horizontal="right"/>
    </xf>
    <xf numFmtId="164" fontId="3" fillId="3" borderId="0" xfId="0" applyNumberFormat="1" applyFont="1" applyFill="1" applyBorder="1" applyAlignment="1">
      <alignment horizontal="right"/>
    </xf>
    <xf numFmtId="164" fontId="1" fillId="3" borderId="0" xfId="0" applyNumberFormat="1" applyFont="1" applyFill="1" applyBorder="1" applyAlignment="1">
      <alignment horizontal="right"/>
    </xf>
    <xf numFmtId="164" fontId="0" fillId="4" borderId="14" xfId="0" applyNumberFormat="1" applyFill="1" applyBorder="1" applyAlignment="1">
      <alignment horizontal="right"/>
    </xf>
    <xf numFmtId="164" fontId="0" fillId="4" borderId="0" xfId="0" applyNumberFormat="1" applyFill="1" applyAlignment="1">
      <alignment horizontal="right"/>
    </xf>
    <xf numFmtId="2" fontId="0" fillId="5" borderId="1" xfId="0" applyNumberFormat="1" applyFill="1" applyBorder="1" applyAlignment="1">
      <alignment horizontal="right"/>
    </xf>
    <xf numFmtId="0" fontId="27" fillId="5" borderId="2" xfId="0" applyFont="1" applyFill="1" applyBorder="1" applyAlignment="1">
      <alignment horizontal="left" vertical="top" wrapText="1"/>
    </xf>
    <xf numFmtId="0" fontId="27" fillId="3" borderId="4" xfId="0" applyFont="1" applyFill="1" applyBorder="1" applyAlignment="1">
      <alignment horizontal="left" wrapText="1"/>
    </xf>
    <xf numFmtId="0" fontId="27" fillId="3" borderId="4" xfId="0" applyFont="1" applyFill="1" applyBorder="1" applyAlignment="1">
      <alignment horizontal="center" wrapText="1"/>
    </xf>
    <xf numFmtId="0" fontId="47" fillId="3" borderId="0" xfId="0" applyFont="1" applyFill="1" applyAlignment="1">
      <alignment horizontal="left"/>
    </xf>
    <xf numFmtId="0" fontId="47" fillId="3" borderId="0" xfId="0" applyFont="1" applyFill="1" applyAlignment="1">
      <alignment horizontal="right"/>
    </xf>
    <xf numFmtId="0" fontId="0" fillId="3" borderId="13" xfId="0" applyFill="1" applyBorder="1" applyAlignment="1">
      <alignment horizontal="center"/>
    </xf>
    <xf numFmtId="0" fontId="0" fillId="3" borderId="2" xfId="0" applyFill="1" applyBorder="1" applyAlignment="1">
      <alignment horizontal="center"/>
    </xf>
    <xf numFmtId="164" fontId="47" fillId="3" borderId="0" xfId="0" applyNumberFormat="1" applyFont="1" applyFill="1" applyAlignment="1">
      <alignment horizontal="right"/>
    </xf>
    <xf numFmtId="164" fontId="47" fillId="0" borderId="0" xfId="0" applyNumberFormat="1" applyFont="1" applyAlignment="1">
      <alignment horizontal="right"/>
    </xf>
    <xf numFmtId="2" fontId="12" fillId="3" borderId="14" xfId="0" applyNumberFormat="1" applyFont="1" applyFill="1" applyBorder="1" applyAlignment="1">
      <alignment horizontal="right"/>
    </xf>
    <xf numFmtId="1" fontId="12" fillId="3" borderId="0" xfId="0" applyNumberFormat="1" applyFont="1" applyFill="1" applyAlignment="1">
      <alignment horizontal="right"/>
    </xf>
    <xf numFmtId="0" fontId="0" fillId="3" borderId="14" xfId="0" applyFill="1" applyBorder="1" applyAlignment="1">
      <alignment horizontal="right"/>
    </xf>
    <xf numFmtId="0" fontId="0" fillId="3" borderId="13" xfId="0" applyFill="1" applyBorder="1" applyAlignment="1">
      <alignment horizontal="right"/>
    </xf>
    <xf numFmtId="0" fontId="0" fillId="3" borderId="2" xfId="0" applyFill="1" applyBorder="1" applyAlignment="1">
      <alignment horizontal="right"/>
    </xf>
    <xf numFmtId="2" fontId="0" fillId="3" borderId="6" xfId="0" applyNumberFormat="1" applyFill="1" applyBorder="1" applyAlignment="1">
      <alignment horizontal="right"/>
    </xf>
    <xf numFmtId="1" fontId="0" fillId="3" borderId="10" xfId="0" applyNumberFormat="1" applyFill="1" applyBorder="1" applyAlignment="1">
      <alignment horizontal="right"/>
    </xf>
    <xf numFmtId="0" fontId="1" fillId="3" borderId="5" xfId="0" applyFont="1" applyFill="1" applyBorder="1" applyAlignment="1">
      <alignment horizontal="right"/>
    </xf>
    <xf numFmtId="0" fontId="1" fillId="3" borderId="10" xfId="0" applyFont="1" applyFill="1" applyBorder="1" applyAlignment="1">
      <alignment horizontal="right"/>
    </xf>
    <xf numFmtId="2" fontId="3" fillId="3" borderId="0" xfId="0" applyNumberFormat="1" applyFont="1" applyFill="1" applyBorder="1" applyAlignment="1">
      <alignment horizontal="right"/>
    </xf>
    <xf numFmtId="0" fontId="72" fillId="3" borderId="0" xfId="0" applyFont="1" applyFill="1"/>
    <xf numFmtId="0" fontId="50" fillId="10" borderId="0" xfId="0" applyFont="1" applyFill="1" applyAlignment="1">
      <alignment horizontal="left"/>
    </xf>
    <xf numFmtId="0" fontId="0" fillId="10" borderId="0" xfId="0" applyFill="1" applyAlignment="1">
      <alignment horizontal="right"/>
    </xf>
    <xf numFmtId="0" fontId="0" fillId="10" borderId="0" xfId="0" applyFill="1"/>
    <xf numFmtId="0" fontId="2" fillId="10" borderId="4" xfId="0" applyFont="1" applyFill="1" applyBorder="1" applyAlignment="1">
      <alignment horizontal="center"/>
    </xf>
    <xf numFmtId="2" fontId="2" fillId="10" borderId="4" xfId="0" applyNumberFormat="1" applyFont="1" applyFill="1" applyBorder="1" applyAlignment="1">
      <alignment horizontal="center"/>
    </xf>
    <xf numFmtId="0" fontId="53" fillId="10" borderId="0" xfId="0" applyFont="1" applyFill="1" applyAlignment="1">
      <alignment horizontal="left"/>
    </xf>
    <xf numFmtId="164" fontId="0" fillId="10" borderId="0" xfId="0" applyNumberFormat="1" applyFill="1" applyAlignment="1">
      <alignment horizontal="right"/>
    </xf>
    <xf numFmtId="164" fontId="0" fillId="10" borderId="0" xfId="0" applyNumberFormat="1" applyFill="1" applyBorder="1" applyAlignment="1">
      <alignment horizontal="right"/>
    </xf>
    <xf numFmtId="1" fontId="50" fillId="10" borderId="0" xfId="0" applyNumberFormat="1" applyFont="1" applyFill="1" applyAlignment="1">
      <alignment horizontal="left"/>
    </xf>
    <xf numFmtId="2" fontId="1" fillId="10" borderId="0" xfId="0" applyNumberFormat="1" applyFont="1" applyFill="1" applyAlignment="1"/>
    <xf numFmtId="0" fontId="3" fillId="9" borderId="0" xfId="0" applyFont="1" applyFill="1"/>
    <xf numFmtId="2" fontId="43" fillId="3" borderId="15" xfId="0" applyNumberFormat="1" applyFont="1" applyFill="1" applyBorder="1" applyAlignment="1">
      <alignment horizontal="center"/>
    </xf>
    <xf numFmtId="2" fontId="43" fillId="3" borderId="21" xfId="0" applyNumberFormat="1" applyFont="1" applyFill="1" applyBorder="1" applyAlignment="1">
      <alignment horizontal="center"/>
    </xf>
    <xf numFmtId="164" fontId="43" fillId="3" borderId="16" xfId="0" applyNumberFormat="1" applyFont="1" applyFill="1" applyBorder="1" applyAlignment="1">
      <alignment horizontal="center"/>
    </xf>
    <xf numFmtId="164" fontId="43" fillId="3" borderId="18" xfId="0" applyNumberFormat="1" applyFont="1" applyFill="1" applyBorder="1" applyAlignment="1">
      <alignment horizontal="center"/>
    </xf>
    <xf numFmtId="2" fontId="43" fillId="3" borderId="16" xfId="0" applyNumberFormat="1" applyFont="1" applyFill="1" applyBorder="1" applyAlignment="1">
      <alignment horizontal="center"/>
    </xf>
    <xf numFmtId="2" fontId="43" fillId="3" borderId="18" xfId="0" applyNumberFormat="1" applyFont="1" applyFill="1" applyBorder="1" applyAlignment="1">
      <alignment horizontal="center"/>
    </xf>
    <xf numFmtId="2" fontId="51" fillId="0" borderId="4" xfId="0" applyNumberFormat="1" applyFont="1" applyFill="1" applyBorder="1" applyAlignment="1">
      <alignment horizontal="center"/>
    </xf>
    <xf numFmtId="2" fontId="0" fillId="9" borderId="2" xfId="0" applyNumberFormat="1" applyFill="1" applyBorder="1" applyAlignment="1">
      <alignment horizontal="right"/>
    </xf>
    <xf numFmtId="2" fontId="0" fillId="9" borderId="9" xfId="0" applyNumberFormat="1" applyFill="1" applyBorder="1" applyAlignment="1">
      <alignment horizontal="right"/>
    </xf>
    <xf numFmtId="0" fontId="0" fillId="9" borderId="11" xfId="0" applyFill="1" applyBorder="1" applyAlignment="1">
      <alignment horizontal="right"/>
    </xf>
    <xf numFmtId="0" fontId="14" fillId="0" borderId="9" xfId="0" applyFont="1" applyFill="1" applyBorder="1"/>
    <xf numFmtId="0" fontId="26" fillId="0" borderId="0" xfId="0" applyFont="1" applyFill="1"/>
    <xf numFmtId="0" fontId="54" fillId="0" borderId="0" xfId="0" applyFont="1" applyFill="1"/>
    <xf numFmtId="0" fontId="2" fillId="5" borderId="8" xfId="0" applyFont="1" applyFill="1" applyBorder="1" applyAlignment="1">
      <alignment horizontal="right"/>
    </xf>
    <xf numFmtId="0" fontId="2" fillId="5" borderId="13" xfId="0" applyFont="1" applyFill="1" applyBorder="1" applyAlignment="1">
      <alignment horizontal="center"/>
    </xf>
    <xf numFmtId="0" fontId="2" fillId="5" borderId="14" xfId="0" applyFont="1" applyFill="1" applyBorder="1" applyAlignment="1">
      <alignment horizontal="center"/>
    </xf>
    <xf numFmtId="2" fontId="12" fillId="4" borderId="13" xfId="0" applyNumberFormat="1" applyFont="1" applyFill="1" applyBorder="1" applyAlignment="1">
      <alignment horizontal="right"/>
    </xf>
    <xf numFmtId="2" fontId="12" fillId="4" borderId="6" xfId="0" applyNumberFormat="1" applyFont="1" applyFill="1" applyBorder="1" applyAlignment="1">
      <alignment horizontal="right"/>
    </xf>
    <xf numFmtId="1" fontId="12" fillId="4" borderId="2" xfId="0" applyNumberFormat="1" applyFont="1" applyFill="1" applyBorder="1" applyAlignment="1">
      <alignment horizontal="right"/>
    </xf>
    <xf numFmtId="2" fontId="1" fillId="10" borderId="9" xfId="0" applyNumberFormat="1" applyFont="1" applyFill="1" applyBorder="1" applyAlignment="1">
      <alignment horizontal="right"/>
    </xf>
    <xf numFmtId="0" fontId="21" fillId="3" borderId="6" xfId="0" applyFont="1" applyFill="1" applyBorder="1" applyAlignment="1">
      <alignment horizontal="right"/>
    </xf>
    <xf numFmtId="1" fontId="77" fillId="10" borderId="0" xfId="0" applyNumberFormat="1" applyFont="1" applyFill="1" applyBorder="1" applyAlignment="1">
      <alignment horizontal="center"/>
    </xf>
    <xf numFmtId="164" fontId="54" fillId="10" borderId="0" xfId="0" applyNumberFormat="1" applyFont="1" applyFill="1" applyBorder="1" applyAlignment="1">
      <alignment horizontal="center"/>
    </xf>
    <xf numFmtId="1" fontId="46" fillId="0" borderId="9" xfId="0" applyNumberFormat="1" applyFont="1" applyFill="1" applyBorder="1" applyAlignment="1">
      <alignment horizontal="center"/>
    </xf>
    <xf numFmtId="1" fontId="47" fillId="4" borderId="9" xfId="0" applyNumberFormat="1" applyFont="1" applyFill="1" applyBorder="1" applyAlignment="1">
      <alignment horizontal="center"/>
    </xf>
    <xf numFmtId="0" fontId="1" fillId="9" borderId="0" xfId="0" applyFont="1" applyFill="1" applyAlignment="1"/>
    <xf numFmtId="1" fontId="47" fillId="4" borderId="8" xfId="0" applyNumberFormat="1" applyFont="1" applyFill="1" applyBorder="1" applyAlignment="1">
      <alignment horizontal="center"/>
    </xf>
    <xf numFmtId="1" fontId="47" fillId="4" borderId="3" xfId="0" applyNumberFormat="1" applyFont="1" applyFill="1" applyBorder="1" applyAlignment="1">
      <alignment horizontal="center"/>
    </xf>
    <xf numFmtId="0" fontId="1" fillId="0" borderId="0" xfId="0" applyFont="1" applyFill="1" applyAlignment="1">
      <alignment horizontal="left"/>
    </xf>
    <xf numFmtId="0" fontId="1" fillId="3" borderId="0" xfId="0" applyFont="1" applyFill="1" applyAlignment="1">
      <alignment vertical="center"/>
    </xf>
    <xf numFmtId="0" fontId="3" fillId="3" borderId="0" xfId="0" applyFont="1" applyFill="1" applyAlignment="1">
      <alignment vertical="center"/>
    </xf>
    <xf numFmtId="0" fontId="14" fillId="3" borderId="0" xfId="0" applyFont="1" applyFill="1" applyBorder="1" applyAlignment="1">
      <alignment vertical="center"/>
    </xf>
    <xf numFmtId="0" fontId="2" fillId="3" borderId="0" xfId="0" applyFont="1" applyFill="1" applyAlignment="1">
      <alignment vertical="center"/>
    </xf>
    <xf numFmtId="0" fontId="3" fillId="0" borderId="0" xfId="0" applyFont="1" applyAlignment="1">
      <alignment vertical="center"/>
    </xf>
    <xf numFmtId="0" fontId="2" fillId="3" borderId="0" xfId="0" applyFont="1" applyFill="1" applyAlignment="1">
      <alignment horizontal="left" vertical="center"/>
    </xf>
    <xf numFmtId="0" fontId="2" fillId="3" borderId="0" xfId="0" applyFont="1" applyFill="1" applyAlignment="1">
      <alignment horizontal="right" vertical="center"/>
    </xf>
    <xf numFmtId="0" fontId="1" fillId="3" borderId="0" xfId="0" applyFont="1" applyFill="1" applyAlignment="1">
      <alignment horizontal="center" vertical="center"/>
    </xf>
    <xf numFmtId="0" fontId="1" fillId="0" borderId="0" xfId="0" applyFont="1" applyAlignment="1">
      <alignment vertical="center"/>
    </xf>
    <xf numFmtId="0" fontId="0" fillId="3" borderId="0" xfId="0" applyFill="1" applyAlignment="1">
      <alignment vertical="center"/>
    </xf>
    <xf numFmtId="0" fontId="3" fillId="9" borderId="1" xfId="0" applyFont="1" applyFill="1" applyBorder="1" applyAlignment="1">
      <alignment vertical="center"/>
    </xf>
    <xf numFmtId="0" fontId="3" fillId="9" borderId="8" xfId="0" applyFont="1" applyFill="1" applyBorder="1" applyAlignment="1">
      <alignment vertical="center"/>
    </xf>
    <xf numFmtId="0" fontId="3" fillId="9" borderId="3" xfId="0" applyFont="1" applyFill="1" applyBorder="1" applyAlignment="1">
      <alignment horizontal="right" vertical="center"/>
    </xf>
    <xf numFmtId="2" fontId="48" fillId="0" borderId="4" xfId="0" applyNumberFormat="1" applyFont="1" applyFill="1" applyBorder="1" applyAlignment="1">
      <alignment horizontal="center" vertical="center"/>
    </xf>
    <xf numFmtId="0" fontId="3" fillId="3" borderId="0" xfId="0" applyFont="1" applyFill="1" applyBorder="1" applyAlignment="1">
      <alignment vertical="center"/>
    </xf>
    <xf numFmtId="0" fontId="70" fillId="3" borderId="0" xfId="0" applyFont="1" applyFill="1" applyAlignment="1">
      <alignment vertical="center"/>
    </xf>
    <xf numFmtId="0" fontId="3" fillId="3" borderId="0" xfId="0" applyFont="1" applyFill="1" applyAlignment="1">
      <alignment horizontal="right" vertical="center"/>
    </xf>
    <xf numFmtId="0" fontId="3" fillId="3" borderId="0" xfId="0" applyFont="1" applyFill="1" applyBorder="1" applyAlignment="1">
      <alignment horizontal="right" vertical="center"/>
    </xf>
    <xf numFmtId="0" fontId="44" fillId="3" borderId="0" xfId="0" applyFont="1" applyFill="1" applyAlignment="1">
      <alignment vertical="center"/>
    </xf>
    <xf numFmtId="164" fontId="3" fillId="3" borderId="0" xfId="0" applyNumberFormat="1" applyFont="1" applyFill="1" applyAlignment="1">
      <alignment vertical="center"/>
    </xf>
    <xf numFmtId="0" fontId="45" fillId="3" borderId="0" xfId="0" applyFont="1" applyFill="1" applyAlignment="1">
      <alignment vertical="center"/>
    </xf>
    <xf numFmtId="0" fontId="0" fillId="3" borderId="0" xfId="0" applyFill="1" applyAlignment="1">
      <alignment horizontal="right" vertical="center"/>
    </xf>
    <xf numFmtId="2" fontId="0" fillId="3" borderId="0" xfId="0" applyNumberFormat="1" applyFill="1" applyAlignment="1">
      <alignment vertical="center"/>
    </xf>
    <xf numFmtId="2" fontId="3" fillId="3" borderId="0" xfId="0" applyNumberFormat="1" applyFont="1" applyFill="1" applyBorder="1" applyAlignment="1">
      <alignment vertical="center"/>
    </xf>
    <xf numFmtId="2" fontId="3" fillId="3" borderId="0" xfId="0" applyNumberFormat="1" applyFont="1" applyFill="1" applyAlignment="1">
      <alignment vertical="center"/>
    </xf>
    <xf numFmtId="0" fontId="0" fillId="0" borderId="0" xfId="0" applyAlignment="1">
      <alignment vertical="center"/>
    </xf>
    <xf numFmtId="0" fontId="1" fillId="3" borderId="0" xfId="0" applyFont="1" applyFill="1" applyBorder="1" applyAlignment="1">
      <alignment horizontal="left" vertical="center"/>
    </xf>
    <xf numFmtId="2" fontId="36" fillId="3" borderId="0" xfId="0" applyNumberFormat="1" applyFont="1" applyFill="1" applyBorder="1" applyAlignment="1">
      <alignment horizontal="center" vertical="center"/>
    </xf>
    <xf numFmtId="2" fontId="37" fillId="3" borderId="0" xfId="0" applyNumberFormat="1" applyFont="1" applyFill="1" applyBorder="1" applyAlignment="1">
      <alignment horizontal="center" vertical="center"/>
    </xf>
    <xf numFmtId="0" fontId="8" fillId="3" borderId="0" xfId="0" applyFont="1" applyFill="1" applyAlignment="1">
      <alignment vertical="center"/>
    </xf>
    <xf numFmtId="0" fontId="38" fillId="3" borderId="0" xfId="0" applyFont="1" applyFill="1" applyAlignment="1">
      <alignment vertical="center"/>
    </xf>
    <xf numFmtId="0" fontId="0" fillId="3" borderId="0" xfId="0" applyFont="1" applyFill="1" applyBorder="1" applyAlignment="1">
      <alignment horizontal="left" vertical="center"/>
    </xf>
    <xf numFmtId="0" fontId="2" fillId="5" borderId="3" xfId="0" applyFont="1" applyFill="1" applyBorder="1" applyAlignment="1">
      <alignment horizontal="right"/>
    </xf>
    <xf numFmtId="0" fontId="2" fillId="3" borderId="0" xfId="0" applyFont="1" applyFill="1"/>
    <xf numFmtId="0" fontId="2" fillId="5" borderId="3" xfId="0" applyFont="1" applyFill="1" applyBorder="1" applyAlignment="1">
      <alignment horizontal="right"/>
    </xf>
    <xf numFmtId="0" fontId="53" fillId="4" borderId="0" xfId="0" applyFont="1" applyFill="1"/>
    <xf numFmtId="0" fontId="0" fillId="4" borderId="0" xfId="0" applyFill="1"/>
    <xf numFmtId="166" fontId="40" fillId="4" borderId="4" xfId="0" applyNumberFormat="1" applyFont="1" applyFill="1" applyBorder="1" applyAlignment="1">
      <alignment horizontal="center"/>
    </xf>
    <xf numFmtId="0" fontId="79" fillId="3" borderId="0" xfId="0" applyFont="1" applyFill="1"/>
    <xf numFmtId="2" fontId="26" fillId="5" borderId="4" xfId="0" applyNumberFormat="1" applyFont="1" applyFill="1" applyBorder="1" applyAlignment="1">
      <alignment horizontal="center" wrapText="1"/>
    </xf>
    <xf numFmtId="164" fontId="3" fillId="3" borderId="12" xfId="0" applyNumberFormat="1" applyFont="1" applyFill="1" applyBorder="1"/>
    <xf numFmtId="164" fontId="12" fillId="4" borderId="6" xfId="0" applyNumberFormat="1" applyFont="1" applyFill="1" applyBorder="1" applyAlignment="1">
      <alignment horizontal="right"/>
    </xf>
    <xf numFmtId="2" fontId="12" fillId="4" borderId="2" xfId="0" applyNumberFormat="1" applyFont="1" applyFill="1" applyBorder="1" applyAlignment="1">
      <alignment horizontal="right"/>
    </xf>
    <xf numFmtId="0" fontId="1" fillId="3" borderId="7" xfId="0" applyFont="1" applyFill="1" applyBorder="1" applyAlignment="1">
      <alignment horizontal="right"/>
    </xf>
    <xf numFmtId="0" fontId="2" fillId="3" borderId="7" xfId="0" applyFont="1" applyFill="1" applyBorder="1" applyAlignment="1">
      <alignment horizontal="right"/>
    </xf>
    <xf numFmtId="0" fontId="0" fillId="3" borderId="7" xfId="0" applyFill="1" applyBorder="1" applyAlignment="1">
      <alignment horizontal="right"/>
    </xf>
    <xf numFmtId="0" fontId="0" fillId="3" borderId="2" xfId="0" applyFill="1" applyBorder="1"/>
    <xf numFmtId="0" fontId="0" fillId="3" borderId="9" xfId="0" applyFill="1" applyBorder="1"/>
    <xf numFmtId="0" fontId="0" fillId="3" borderId="13" xfId="0" applyFill="1" applyBorder="1"/>
    <xf numFmtId="0" fontId="0" fillId="3" borderId="14" xfId="0" applyFill="1" applyBorder="1"/>
    <xf numFmtId="0" fontId="0" fillId="3" borderId="6" xfId="0" applyFill="1" applyBorder="1" applyAlignment="1">
      <alignment horizontal="center"/>
    </xf>
    <xf numFmtId="0" fontId="3" fillId="3" borderId="9" xfId="0" applyFont="1" applyFill="1" applyBorder="1" applyAlignment="1">
      <alignment horizontal="right"/>
    </xf>
    <xf numFmtId="0" fontId="8" fillId="3" borderId="1" xfId="0" applyFont="1" applyFill="1" applyBorder="1" applyAlignment="1">
      <alignment horizontal="right" wrapText="1"/>
    </xf>
    <xf numFmtId="0" fontId="0" fillId="11" borderId="0" xfId="0" applyFill="1"/>
    <xf numFmtId="0" fontId="80" fillId="4" borderId="3" xfId="0" applyFont="1" applyFill="1" applyBorder="1" applyAlignment="1">
      <alignment horizontal="center" vertical="center" wrapText="1"/>
    </xf>
    <xf numFmtId="1" fontId="1" fillId="4" borderId="4" xfId="0" applyNumberFormat="1" applyFont="1" applyFill="1" applyBorder="1" applyAlignment="1">
      <alignment horizontal="center"/>
    </xf>
    <xf numFmtId="0" fontId="1" fillId="3" borderId="2" xfId="0" applyFont="1" applyFill="1" applyBorder="1" applyAlignment="1">
      <alignment horizontal="right" wrapText="1"/>
    </xf>
    <xf numFmtId="0" fontId="1" fillId="3" borderId="1" xfId="0" applyFont="1" applyFill="1" applyBorder="1" applyAlignment="1">
      <alignment horizontal="right" wrapText="1"/>
    </xf>
    <xf numFmtId="0" fontId="17" fillId="3" borderId="1" xfId="0" quotePrefix="1" applyFont="1" applyFill="1" applyBorder="1" applyAlignment="1">
      <alignment horizontal="right"/>
    </xf>
    <xf numFmtId="2" fontId="40" fillId="4" borderId="4" xfId="0" applyNumberFormat="1" applyFont="1" applyFill="1" applyBorder="1" applyAlignment="1">
      <alignment horizontal="center"/>
    </xf>
    <xf numFmtId="0" fontId="18" fillId="3" borderId="2" xfId="0" quotePrefix="1" applyFont="1" applyFill="1" applyBorder="1" applyAlignment="1">
      <alignment horizontal="right"/>
    </xf>
    <xf numFmtId="1" fontId="80" fillId="4" borderId="5" xfId="0" applyNumberFormat="1" applyFont="1" applyFill="1" applyBorder="1" applyAlignment="1">
      <alignment horizontal="center" vertical="center" wrapText="1"/>
    </xf>
    <xf numFmtId="1" fontId="80" fillId="4" borderId="4" xfId="0" applyNumberFormat="1" applyFont="1" applyFill="1" applyBorder="1" applyAlignment="1">
      <alignment horizontal="center" wrapText="1"/>
    </xf>
    <xf numFmtId="0" fontId="8" fillId="3" borderId="1" xfId="0" applyFont="1" applyFill="1" applyBorder="1"/>
    <xf numFmtId="0" fontId="8" fillId="3" borderId="8" xfId="0" applyFont="1" applyFill="1" applyBorder="1"/>
    <xf numFmtId="0" fontId="8" fillId="3" borderId="3" xfId="0" applyFont="1" applyFill="1" applyBorder="1"/>
    <xf numFmtId="164" fontId="80" fillId="4" borderId="5" xfId="0" applyNumberFormat="1" applyFont="1" applyFill="1" applyBorder="1" applyAlignment="1">
      <alignment horizontal="center"/>
    </xf>
    <xf numFmtId="164" fontId="80" fillId="4" borderId="4" xfId="0" applyNumberFormat="1" applyFont="1" applyFill="1" applyBorder="1" applyAlignment="1">
      <alignment horizontal="left"/>
    </xf>
    <xf numFmtId="164" fontId="80" fillId="4" borderId="4" xfId="0" applyNumberFormat="1" applyFont="1" applyFill="1" applyBorder="1"/>
    <xf numFmtId="164" fontId="40" fillId="4" borderId="4" xfId="0" applyNumberFormat="1" applyFont="1" applyFill="1" applyBorder="1" applyAlignment="1">
      <alignment horizontal="center"/>
    </xf>
    <xf numFmtId="0" fontId="8" fillId="3" borderId="6" xfId="0" applyFont="1" applyFill="1" applyBorder="1"/>
    <xf numFmtId="0" fontId="8" fillId="3" borderId="7" xfId="0" applyFont="1" applyFill="1" applyBorder="1"/>
    <xf numFmtId="164" fontId="80" fillId="4" borderId="4" xfId="0" applyNumberFormat="1" applyFont="1" applyFill="1" applyBorder="1" applyAlignment="1">
      <alignment horizontal="center"/>
    </xf>
    <xf numFmtId="164" fontId="80" fillId="4" borderId="3" xfId="0" applyNumberFormat="1" applyFont="1" applyFill="1" applyBorder="1" applyAlignment="1">
      <alignment horizontal="center"/>
    </xf>
    <xf numFmtId="164" fontId="80" fillId="4" borderId="3" xfId="0" applyNumberFormat="1" applyFont="1" applyFill="1" applyBorder="1" applyAlignment="1">
      <alignment horizontal="left"/>
    </xf>
    <xf numFmtId="164" fontId="80" fillId="4" borderId="4" xfId="0" applyNumberFormat="1" applyFont="1" applyFill="1" applyBorder="1" applyAlignment="1">
      <alignment horizontal="right"/>
    </xf>
    <xf numFmtId="164" fontId="80" fillId="4" borderId="3" xfId="0" applyNumberFormat="1" applyFont="1" applyFill="1" applyBorder="1" applyAlignment="1">
      <alignment horizontal="right"/>
    </xf>
    <xf numFmtId="2" fontId="80" fillId="4" borderId="4" xfId="0" applyNumberFormat="1" applyFont="1" applyFill="1" applyBorder="1" applyAlignment="1">
      <alignment horizontal="center"/>
    </xf>
    <xf numFmtId="2" fontId="80" fillId="4" borderId="3" xfId="0" applyNumberFormat="1" applyFont="1" applyFill="1" applyBorder="1" applyAlignment="1">
      <alignment horizontal="center"/>
    </xf>
    <xf numFmtId="2" fontId="80" fillId="4" borderId="4" xfId="0" applyNumberFormat="1" applyFont="1" applyFill="1" applyBorder="1" applyAlignment="1">
      <alignment horizontal="left"/>
    </xf>
    <xf numFmtId="2" fontId="80" fillId="4" borderId="3" xfId="0" applyNumberFormat="1" applyFont="1" applyFill="1" applyBorder="1" applyAlignment="1">
      <alignment horizontal="left"/>
    </xf>
    <xf numFmtId="2" fontId="80" fillId="4" borderId="4" xfId="0" applyNumberFormat="1" applyFont="1" applyFill="1" applyBorder="1" applyAlignment="1">
      <alignment horizontal="right"/>
    </xf>
    <xf numFmtId="2" fontId="80" fillId="4" borderId="3" xfId="0" applyNumberFormat="1" applyFont="1" applyFill="1" applyBorder="1" applyAlignment="1">
      <alignment horizontal="right"/>
    </xf>
    <xf numFmtId="0" fontId="1" fillId="3" borderId="0" xfId="0" applyFont="1" applyFill="1" applyBorder="1" applyAlignment="1">
      <alignment horizontal="right" wrapText="1"/>
    </xf>
    <xf numFmtId="0" fontId="8" fillId="0" borderId="0" xfId="0" applyFont="1"/>
    <xf numFmtId="0" fontId="10" fillId="3" borderId="0" xfId="0" quotePrefix="1" applyFont="1" applyFill="1" applyBorder="1" applyAlignment="1">
      <alignment horizontal="right" vertical="center" wrapText="1"/>
    </xf>
    <xf numFmtId="0" fontId="31" fillId="3" borderId="0" xfId="0" applyFont="1" applyFill="1"/>
    <xf numFmtId="0" fontId="31" fillId="0" borderId="0" xfId="0" applyFont="1"/>
    <xf numFmtId="0" fontId="1" fillId="3" borderId="8" xfId="0" applyFont="1" applyFill="1" applyBorder="1" applyAlignment="1">
      <alignment horizontal="right"/>
    </xf>
    <xf numFmtId="0" fontId="8" fillId="3" borderId="1" xfId="0" applyFont="1" applyFill="1" applyBorder="1" applyAlignment="1"/>
    <xf numFmtId="0" fontId="8" fillId="3" borderId="3" xfId="0" applyFont="1" applyFill="1" applyBorder="1" applyAlignment="1">
      <alignment horizontal="right"/>
    </xf>
    <xf numFmtId="0" fontId="46" fillId="0" borderId="13" xfId="0" applyNumberFormat="1" applyFont="1" applyFill="1" applyBorder="1" applyAlignment="1">
      <alignment horizontal="center"/>
    </xf>
    <xf numFmtId="0" fontId="46" fillId="0" borderId="14" xfId="0" applyNumberFormat="1" applyFont="1" applyFill="1" applyBorder="1" applyAlignment="1">
      <alignment horizontal="center"/>
    </xf>
    <xf numFmtId="0" fontId="48" fillId="0" borderId="1" xfId="0" applyNumberFormat="1" applyFont="1" applyFill="1" applyBorder="1" applyAlignment="1">
      <alignment horizontal="center" vertical="top"/>
    </xf>
    <xf numFmtId="0" fontId="48" fillId="0" borderId="14" xfId="0" applyNumberFormat="1" applyFont="1" applyFill="1" applyBorder="1" applyAlignment="1">
      <alignment horizontal="center" vertical="top"/>
    </xf>
    <xf numFmtId="0" fontId="47" fillId="4" borderId="13" xfId="0" applyNumberFormat="1" applyFont="1" applyFill="1" applyBorder="1" applyAlignment="1">
      <alignment horizontal="center"/>
    </xf>
    <xf numFmtId="0" fontId="47" fillId="4" borderId="14" xfId="0" applyNumberFormat="1" applyFont="1" applyFill="1" applyBorder="1" applyAlignment="1">
      <alignment horizontal="center"/>
    </xf>
    <xf numFmtId="0" fontId="51" fillId="4" borderId="1" xfId="0" applyNumberFormat="1" applyFont="1" applyFill="1" applyBorder="1" applyAlignment="1">
      <alignment horizontal="center" vertical="top"/>
    </xf>
    <xf numFmtId="0" fontId="51" fillId="4" borderId="14" xfId="0" applyNumberFormat="1" applyFont="1" applyFill="1" applyBorder="1" applyAlignment="1">
      <alignment horizontal="center" vertical="top"/>
    </xf>
    <xf numFmtId="0" fontId="47" fillId="0" borderId="13" xfId="0" applyNumberFormat="1" applyFont="1" applyFill="1" applyBorder="1" applyAlignment="1">
      <alignment horizontal="center"/>
    </xf>
    <xf numFmtId="0" fontId="51" fillId="0" borderId="1" xfId="0" applyNumberFormat="1" applyFont="1" applyFill="1" applyBorder="1" applyAlignment="1">
      <alignment horizontal="center" vertical="top"/>
    </xf>
    <xf numFmtId="2" fontId="47" fillId="4" borderId="3" xfId="0" applyNumberFormat="1" applyFont="1" applyFill="1" applyBorder="1" applyAlignment="1"/>
    <xf numFmtId="0" fontId="47" fillId="4" borderId="3" xfId="0" applyFont="1" applyFill="1" applyBorder="1"/>
    <xf numFmtId="0" fontId="55" fillId="3" borderId="0" xfId="0" applyFont="1" applyFill="1" applyBorder="1" applyAlignment="1">
      <alignment horizontal="right"/>
    </xf>
    <xf numFmtId="0" fontId="75" fillId="3" borderId="12" xfId="0" applyFont="1" applyFill="1" applyBorder="1" applyAlignment="1">
      <alignment horizontal="right"/>
    </xf>
    <xf numFmtId="0" fontId="14" fillId="3" borderId="7" xfId="0" applyFont="1" applyFill="1" applyBorder="1" applyAlignment="1">
      <alignment horizontal="right"/>
    </xf>
    <xf numFmtId="2" fontId="12" fillId="4" borderId="7" xfId="0" applyNumberFormat="1" applyFont="1" applyFill="1" applyBorder="1" applyAlignment="1"/>
    <xf numFmtId="0" fontId="46" fillId="0" borderId="7" xfId="0" applyFont="1" applyFill="1" applyBorder="1" applyAlignment="1">
      <alignment horizontal="left"/>
    </xf>
    <xf numFmtId="0" fontId="27" fillId="5" borderId="10" xfId="0" applyFont="1" applyFill="1" applyBorder="1" applyAlignment="1">
      <alignment horizontal="center" wrapText="1"/>
    </xf>
    <xf numFmtId="1" fontId="1" fillId="10" borderId="14" xfId="0" applyNumberFormat="1" applyFont="1" applyFill="1" applyBorder="1" applyAlignment="1">
      <alignment horizontal="center"/>
    </xf>
    <xf numFmtId="1" fontId="1" fillId="10" borderId="12" xfId="0" applyNumberFormat="1" applyFont="1" applyFill="1" applyBorder="1" applyAlignment="1">
      <alignment horizontal="center"/>
    </xf>
    <xf numFmtId="0" fontId="1" fillId="10" borderId="13" xfId="0" applyFont="1" applyFill="1" applyBorder="1"/>
    <xf numFmtId="0" fontId="1" fillId="10" borderId="14" xfId="0" applyFont="1" applyFill="1" applyBorder="1" applyAlignment="1">
      <alignment horizontal="right"/>
    </xf>
    <xf numFmtId="0" fontId="1" fillId="10" borderId="2" xfId="0" applyFont="1" applyFill="1" applyBorder="1"/>
    <xf numFmtId="0" fontId="1" fillId="10" borderId="9" xfId="0" applyFont="1" applyFill="1" applyBorder="1" applyAlignment="1">
      <alignment horizontal="right"/>
    </xf>
    <xf numFmtId="1" fontId="1" fillId="10" borderId="9" xfId="0" applyNumberFormat="1" applyFont="1" applyFill="1" applyBorder="1" applyAlignment="1">
      <alignment horizontal="center"/>
    </xf>
    <xf numFmtId="1" fontId="1" fillId="10" borderId="11" xfId="0" applyNumberFormat="1" applyFont="1" applyFill="1" applyBorder="1" applyAlignment="1">
      <alignment horizontal="center"/>
    </xf>
    <xf numFmtId="0" fontId="1" fillId="3" borderId="6" xfId="0" applyFont="1" applyFill="1" applyBorder="1"/>
    <xf numFmtId="164" fontId="11" fillId="4" borderId="7" xfId="0" applyNumberFormat="1" applyFont="1" applyFill="1" applyBorder="1" applyAlignment="1">
      <alignment horizontal="center"/>
    </xf>
    <xf numFmtId="0" fontId="80" fillId="10" borderId="9" xfId="0" applyFont="1" applyFill="1" applyBorder="1" applyAlignment="1">
      <alignment horizontal="center" wrapText="1"/>
    </xf>
    <xf numFmtId="0" fontId="80" fillId="10" borderId="11" xfId="0" applyFont="1" applyFill="1" applyBorder="1" applyAlignment="1">
      <alignment horizontal="center" wrapText="1"/>
    </xf>
    <xf numFmtId="0" fontId="1" fillId="10" borderId="14" xfId="0" applyFont="1" applyFill="1" applyBorder="1" applyAlignment="1">
      <alignment horizontal="right" wrapText="1"/>
    </xf>
    <xf numFmtId="2" fontId="12" fillId="10" borderId="14" xfId="0" applyNumberFormat="1" applyFont="1" applyFill="1" applyBorder="1" applyAlignment="1">
      <alignment horizontal="left"/>
    </xf>
    <xf numFmtId="2" fontId="12" fillId="10" borderId="12" xfId="0" applyNumberFormat="1" applyFont="1" applyFill="1" applyBorder="1" applyAlignment="1">
      <alignment horizontal="left"/>
    </xf>
    <xf numFmtId="0" fontId="1" fillId="10" borderId="0" xfId="0" applyFont="1" applyFill="1" applyBorder="1" applyAlignment="1">
      <alignment horizontal="right" wrapText="1"/>
    </xf>
    <xf numFmtId="2" fontId="12" fillId="10" borderId="0" xfId="0" applyNumberFormat="1" applyFont="1" applyFill="1" applyBorder="1" applyAlignment="1">
      <alignment horizontal="right"/>
    </xf>
    <xf numFmtId="2" fontId="12" fillId="10" borderId="7" xfId="0" applyNumberFormat="1" applyFont="1" applyFill="1" applyBorder="1" applyAlignment="1">
      <alignment horizontal="right"/>
    </xf>
    <xf numFmtId="0" fontId="1" fillId="10" borderId="0" xfId="0" applyFont="1" applyFill="1" applyBorder="1" applyAlignment="1">
      <alignment horizontal="right"/>
    </xf>
    <xf numFmtId="2" fontId="12" fillId="10" borderId="0" xfId="0" applyNumberFormat="1" applyFont="1" applyFill="1" applyBorder="1" applyAlignment="1">
      <alignment horizontal="center"/>
    </xf>
    <xf numFmtId="2" fontId="12" fillId="10" borderId="7" xfId="0" applyNumberFormat="1" applyFont="1" applyFill="1" applyBorder="1" applyAlignment="1">
      <alignment horizontal="center"/>
    </xf>
    <xf numFmtId="0" fontId="17" fillId="10" borderId="0" xfId="0" quotePrefix="1" applyFont="1" applyFill="1" applyBorder="1" applyAlignment="1">
      <alignment horizontal="right"/>
    </xf>
    <xf numFmtId="2" fontId="40" fillId="10" borderId="0" xfId="0" applyNumberFormat="1" applyFont="1" applyFill="1" applyBorder="1" applyAlignment="1">
      <alignment horizontal="center"/>
    </xf>
    <xf numFmtId="2" fontId="40" fillId="10" borderId="7" xfId="0" applyNumberFormat="1" applyFont="1" applyFill="1" applyBorder="1" applyAlignment="1">
      <alignment horizontal="center"/>
    </xf>
    <xf numFmtId="0" fontId="18" fillId="10" borderId="0" xfId="0" quotePrefix="1" applyFont="1" applyFill="1" applyBorder="1" applyAlignment="1">
      <alignment horizontal="right"/>
    </xf>
    <xf numFmtId="1" fontId="80" fillId="10" borderId="0" xfId="0" applyNumberFormat="1" applyFont="1" applyFill="1" applyBorder="1" applyAlignment="1">
      <alignment horizontal="center"/>
    </xf>
    <xf numFmtId="1" fontId="80" fillId="10" borderId="7" xfId="0" applyNumberFormat="1" applyFont="1" applyFill="1" applyBorder="1" applyAlignment="1">
      <alignment horizontal="center"/>
    </xf>
    <xf numFmtId="1" fontId="80" fillId="10" borderId="0" xfId="0" applyNumberFormat="1" applyFont="1" applyFill="1" applyBorder="1" applyAlignment="1">
      <alignment horizontal="center" vertical="center" wrapText="1"/>
    </xf>
    <xf numFmtId="1" fontId="80" fillId="10" borderId="7" xfId="0" applyNumberFormat="1" applyFont="1" applyFill="1" applyBorder="1" applyAlignment="1">
      <alignment horizontal="center" vertical="center" wrapText="1"/>
    </xf>
    <xf numFmtId="0" fontId="80" fillId="10" borderId="0" xfId="0" applyFont="1" applyFill="1" applyBorder="1" applyAlignment="1">
      <alignment horizontal="center" vertical="center" wrapText="1"/>
    </xf>
    <xf numFmtId="0" fontId="80" fillId="10" borderId="7" xfId="0" applyFont="1" applyFill="1" applyBorder="1" applyAlignment="1">
      <alignment horizontal="center" vertical="center" wrapText="1"/>
    </xf>
    <xf numFmtId="0" fontId="80" fillId="10" borderId="0" xfId="0" applyFont="1" applyFill="1" applyBorder="1" applyAlignment="1">
      <alignment horizontal="center" wrapText="1"/>
    </xf>
    <xf numFmtId="0" fontId="80" fillId="10" borderId="7" xfId="0" applyFont="1" applyFill="1" applyBorder="1" applyAlignment="1">
      <alignment horizontal="center" wrapText="1"/>
    </xf>
    <xf numFmtId="1" fontId="80" fillId="10" borderId="0" xfId="0" applyNumberFormat="1" applyFont="1" applyFill="1" applyBorder="1" applyAlignment="1">
      <alignment horizontal="center" wrapText="1"/>
    </xf>
    <xf numFmtId="1" fontId="80" fillId="10" borderId="7" xfId="0" applyNumberFormat="1" applyFont="1" applyFill="1" applyBorder="1" applyAlignment="1">
      <alignment horizontal="center" wrapText="1"/>
    </xf>
    <xf numFmtId="0" fontId="8" fillId="10" borderId="2" xfId="0" applyFont="1" applyFill="1" applyBorder="1"/>
    <xf numFmtId="0" fontId="8" fillId="10" borderId="9" xfId="0" applyFont="1" applyFill="1" applyBorder="1"/>
    <xf numFmtId="0" fontId="8" fillId="10" borderId="11" xfId="0" applyFont="1" applyFill="1" applyBorder="1"/>
    <xf numFmtId="164" fontId="80" fillId="4" borderId="7" xfId="0" applyNumberFormat="1" applyFont="1" applyFill="1" applyBorder="1" applyAlignment="1">
      <alignment horizontal="center"/>
    </xf>
    <xf numFmtId="0" fontId="8" fillId="10" borderId="14" xfId="0" applyFont="1" applyFill="1" applyBorder="1" applyAlignment="1">
      <alignment horizontal="right" wrapText="1"/>
    </xf>
    <xf numFmtId="164" fontId="80" fillId="10" borderId="14" xfId="0" applyNumberFormat="1" applyFont="1" applyFill="1" applyBorder="1" applyAlignment="1">
      <alignment horizontal="left"/>
    </xf>
    <xf numFmtId="164" fontId="80" fillId="10" borderId="12" xfId="0" applyNumberFormat="1" applyFont="1" applyFill="1" applyBorder="1" applyAlignment="1">
      <alignment horizontal="left"/>
    </xf>
    <xf numFmtId="0" fontId="8" fillId="10" borderId="9" xfId="0" applyFont="1" applyFill="1" applyBorder="1" applyAlignment="1">
      <alignment horizontal="right" wrapText="1"/>
    </xf>
    <xf numFmtId="164" fontId="80" fillId="10" borderId="9" xfId="0" applyNumberFormat="1" applyFont="1" applyFill="1" applyBorder="1"/>
    <xf numFmtId="164" fontId="80" fillId="10" borderId="11" xfId="0" applyNumberFormat="1" applyFont="1" applyFill="1" applyBorder="1"/>
    <xf numFmtId="2" fontId="11" fillId="4" borderId="7" xfId="0" applyNumberFormat="1" applyFont="1" applyFill="1" applyBorder="1" applyAlignment="1">
      <alignment horizontal="center"/>
    </xf>
    <xf numFmtId="0" fontId="35" fillId="10" borderId="0" xfId="0" applyFont="1" applyFill="1" applyBorder="1" applyAlignment="1">
      <alignment horizontal="right"/>
    </xf>
    <xf numFmtId="2" fontId="35" fillId="10" borderId="5" xfId="0" applyNumberFormat="1" applyFont="1" applyFill="1" applyBorder="1" applyAlignment="1">
      <alignment horizontal="center"/>
    </xf>
    <xf numFmtId="0" fontId="8" fillId="10" borderId="13" xfId="0" applyFont="1" applyFill="1" applyBorder="1" applyAlignment="1"/>
    <xf numFmtId="0" fontId="8" fillId="10" borderId="13" xfId="0" applyFont="1" applyFill="1" applyBorder="1" applyAlignment="1">
      <alignment horizontal="right"/>
    </xf>
    <xf numFmtId="2" fontId="80" fillId="4" borderId="10" xfId="0" applyNumberFormat="1" applyFont="1" applyFill="1" applyBorder="1" applyAlignment="1">
      <alignment horizontal="center"/>
    </xf>
    <xf numFmtId="2" fontId="80" fillId="4" borderId="12" xfId="0" applyNumberFormat="1" applyFont="1" applyFill="1" applyBorder="1" applyAlignment="1">
      <alignment horizontal="center"/>
    </xf>
    <xf numFmtId="2" fontId="80" fillId="10" borderId="14" xfId="0" applyNumberFormat="1" applyFont="1" applyFill="1" applyBorder="1" applyAlignment="1">
      <alignment horizontal="left"/>
    </xf>
    <xf numFmtId="2" fontId="80" fillId="10" borderId="12" xfId="0" applyNumberFormat="1" applyFont="1" applyFill="1" applyBorder="1" applyAlignment="1">
      <alignment horizontal="left"/>
    </xf>
    <xf numFmtId="2" fontId="80" fillId="10" borderId="9" xfId="0" applyNumberFormat="1" applyFont="1" applyFill="1" applyBorder="1" applyAlignment="1">
      <alignment horizontal="right"/>
    </xf>
    <xf numFmtId="2" fontId="80" fillId="10" borderId="11" xfId="0" applyNumberFormat="1" applyFont="1" applyFill="1" applyBorder="1" applyAlignment="1">
      <alignment horizontal="right"/>
    </xf>
    <xf numFmtId="164" fontId="80" fillId="10" borderId="9" xfId="0" applyNumberFormat="1" applyFont="1" applyFill="1" applyBorder="1" applyAlignment="1">
      <alignment horizontal="right"/>
    </xf>
    <xf numFmtId="164" fontId="80" fillId="10" borderId="11" xfId="0" applyNumberFormat="1" applyFont="1" applyFill="1" applyBorder="1" applyAlignment="1">
      <alignment horizontal="right"/>
    </xf>
    <xf numFmtId="2" fontId="80" fillId="4" borderId="7" xfId="0" applyNumberFormat="1" applyFont="1" applyFill="1" applyBorder="1" applyAlignment="1">
      <alignment horizontal="center"/>
    </xf>
    <xf numFmtId="164" fontId="39" fillId="3" borderId="0" xfId="0" applyNumberFormat="1" applyFont="1" applyFill="1" applyBorder="1" applyAlignment="1">
      <alignment horizontal="right"/>
    </xf>
    <xf numFmtId="0" fontId="1" fillId="3" borderId="0" xfId="0" applyFont="1" applyFill="1" applyAlignment="1">
      <alignment horizontal="right" vertical="center"/>
    </xf>
    <xf numFmtId="164" fontId="34" fillId="3" borderId="5" xfId="0" applyNumberFormat="1" applyFont="1" applyFill="1" applyBorder="1" applyAlignment="1"/>
    <xf numFmtId="2" fontId="34" fillId="3" borderId="10" xfId="0" applyNumberFormat="1" applyFont="1" applyFill="1" applyBorder="1" applyAlignment="1"/>
    <xf numFmtId="1" fontId="54" fillId="3" borderId="17" xfId="0" applyNumberFormat="1" applyFont="1" applyFill="1" applyBorder="1" applyAlignment="1">
      <alignment horizontal="right"/>
    </xf>
    <xf numFmtId="164" fontId="34" fillId="3" borderId="10" xfId="0" applyNumberFormat="1" applyFont="1" applyFill="1" applyBorder="1" applyAlignment="1">
      <alignment horizontal="right"/>
    </xf>
    <xf numFmtId="164" fontId="1" fillId="3" borderId="0" xfId="0" applyNumberFormat="1" applyFont="1" applyFill="1" applyBorder="1"/>
    <xf numFmtId="164" fontId="1" fillId="3" borderId="7" xfId="0" applyNumberFormat="1" applyFont="1" applyFill="1" applyBorder="1"/>
    <xf numFmtId="0" fontId="21" fillId="3" borderId="0" xfId="0" applyFont="1" applyFill="1" applyBorder="1"/>
    <xf numFmtId="2" fontId="21" fillId="3" borderId="0" xfId="0" applyNumberFormat="1" applyFont="1" applyFill="1" applyBorder="1" applyAlignment="1">
      <alignment horizontal="right"/>
    </xf>
    <xf numFmtId="1" fontId="12" fillId="4" borderId="11" xfId="0" applyNumberFormat="1" applyFont="1" applyFill="1" applyBorder="1" applyAlignment="1">
      <alignment horizontal="right"/>
    </xf>
    <xf numFmtId="2" fontId="1" fillId="3" borderId="0" xfId="0" applyNumberFormat="1" applyFont="1" applyFill="1" applyAlignment="1">
      <alignment horizontal="left"/>
    </xf>
    <xf numFmtId="0" fontId="84" fillId="3" borderId="0" xfId="0" applyFont="1" applyFill="1" applyAlignment="1">
      <alignment horizontal="left"/>
    </xf>
    <xf numFmtId="0" fontId="3" fillId="3" borderId="12" xfId="0" applyFont="1" applyFill="1" applyBorder="1" applyAlignment="1">
      <alignment horizontal="right"/>
    </xf>
    <xf numFmtId="0" fontId="3" fillId="3" borderId="7" xfId="0" applyFont="1" applyFill="1" applyBorder="1" applyAlignment="1">
      <alignment horizontal="right"/>
    </xf>
    <xf numFmtId="0" fontId="0" fillId="3" borderId="11" xfId="0" applyFill="1" applyBorder="1" applyAlignment="1">
      <alignment horizontal="right"/>
    </xf>
    <xf numFmtId="0" fontId="55" fillId="4" borderId="0" xfId="0" applyFont="1" applyFill="1" applyAlignment="1">
      <alignment horizontal="right"/>
    </xf>
    <xf numFmtId="2" fontId="54" fillId="4" borderId="0" xfId="0" applyNumberFormat="1" applyFont="1" applyFill="1" applyAlignment="1">
      <alignment horizontal="right"/>
    </xf>
    <xf numFmtId="0" fontId="54" fillId="4" borderId="0" xfId="0" applyFont="1" applyFill="1" applyAlignment="1">
      <alignment horizontal="right"/>
    </xf>
    <xf numFmtId="2" fontId="0" fillId="8" borderId="1" xfId="0" applyNumberFormat="1" applyFill="1" applyBorder="1" applyAlignment="1">
      <alignment horizontal="right"/>
    </xf>
    <xf numFmtId="0" fontId="0" fillId="8" borderId="8" xfId="0" applyFill="1" applyBorder="1"/>
    <xf numFmtId="0" fontId="1" fillId="8" borderId="3" xfId="0" applyFont="1" applyFill="1" applyBorder="1" applyAlignment="1">
      <alignment horizontal="right"/>
    </xf>
    <xf numFmtId="0" fontId="1" fillId="5" borderId="7" xfId="0" applyFont="1" applyFill="1" applyBorder="1" applyAlignment="1">
      <alignment horizontal="right"/>
    </xf>
    <xf numFmtId="164" fontId="49" fillId="3" borderId="4" xfId="0" applyNumberFormat="1" applyFont="1" applyFill="1" applyBorder="1" applyAlignment="1">
      <alignment horizontal="center"/>
    </xf>
    <xf numFmtId="2" fontId="49" fillId="3" borderId="4" xfId="0" applyNumberFormat="1" applyFont="1" applyFill="1" applyBorder="1" applyAlignment="1">
      <alignment horizontal="center"/>
    </xf>
    <xf numFmtId="1" fontId="49" fillId="3" borderId="4" xfId="0" applyNumberFormat="1" applyFont="1" applyFill="1" applyBorder="1" applyAlignment="1">
      <alignment horizontal="center"/>
    </xf>
    <xf numFmtId="2" fontId="36" fillId="0" borderId="4" xfId="0" applyNumberFormat="1" applyFont="1" applyFill="1" applyBorder="1" applyAlignment="1">
      <alignment horizontal="center"/>
    </xf>
    <xf numFmtId="2" fontId="37" fillId="3" borderId="4" xfId="0" applyNumberFormat="1" applyFont="1" applyFill="1" applyBorder="1" applyAlignment="1">
      <alignment horizontal="center"/>
    </xf>
    <xf numFmtId="0" fontId="8" fillId="3" borderId="4" xfId="0" applyFont="1" applyFill="1" applyBorder="1"/>
    <xf numFmtId="0" fontId="0" fillId="3" borderId="4" xfId="0" applyFill="1" applyBorder="1"/>
    <xf numFmtId="164" fontId="36" fillId="0" borderId="4" xfId="0" applyNumberFormat="1" applyFont="1" applyFill="1" applyBorder="1" applyAlignment="1">
      <alignment horizontal="center"/>
    </xf>
    <xf numFmtId="0" fontId="0" fillId="3" borderId="8" xfId="0" applyFill="1" applyBorder="1"/>
    <xf numFmtId="0" fontId="0" fillId="3" borderId="3" xfId="0" applyFill="1" applyBorder="1"/>
    <xf numFmtId="164" fontId="37" fillId="3" borderId="5" xfId="0" applyNumberFormat="1" applyFont="1" applyFill="1" applyBorder="1" applyAlignment="1">
      <alignment horizontal="center"/>
    </xf>
    <xf numFmtId="2" fontId="37" fillId="3" borderId="5" xfId="0" applyNumberFormat="1" applyFont="1" applyFill="1" applyBorder="1" applyAlignment="1">
      <alignment horizontal="center"/>
    </xf>
    <xf numFmtId="0" fontId="8" fillId="3" borderId="5" xfId="0" applyFont="1" applyFill="1" applyBorder="1"/>
    <xf numFmtId="0" fontId="0" fillId="3" borderId="5" xfId="0" applyFill="1" applyBorder="1"/>
    <xf numFmtId="0" fontId="0" fillId="3" borderId="11" xfId="0" applyFill="1" applyBorder="1"/>
    <xf numFmtId="0" fontId="3" fillId="5" borderId="13" xfId="0" applyFont="1" applyFill="1" applyBorder="1" applyAlignment="1">
      <alignment horizontal="left" vertical="center"/>
    </xf>
    <xf numFmtId="0" fontId="9" fillId="5" borderId="14" xfId="0" applyFont="1" applyFill="1" applyBorder="1" applyAlignment="1">
      <alignment vertical="center" wrapText="1"/>
    </xf>
    <xf numFmtId="0" fontId="3" fillId="5" borderId="2" xfId="0" applyFont="1" applyFill="1" applyBorder="1" applyAlignment="1">
      <alignment horizontal="left" vertical="center"/>
    </xf>
    <xf numFmtId="0" fontId="9" fillId="5" borderId="9" xfId="0" applyFont="1" applyFill="1" applyBorder="1" applyAlignment="1">
      <alignment vertical="center" wrapText="1"/>
    </xf>
    <xf numFmtId="166" fontId="36" fillId="0" borderId="4" xfId="0" applyNumberFormat="1" applyFont="1" applyFill="1" applyBorder="1" applyAlignment="1">
      <alignment horizontal="center"/>
    </xf>
    <xf numFmtId="0" fontId="1" fillId="8" borderId="13" xfId="0" applyFont="1" applyFill="1" applyBorder="1" applyAlignment="1">
      <alignment horizontal="left" vertical="top" wrapText="1"/>
    </xf>
    <xf numFmtId="0" fontId="0" fillId="8" borderId="14" xfId="0" applyFill="1" applyBorder="1" applyAlignment="1">
      <alignment horizontal="left" vertical="top" wrapText="1"/>
    </xf>
    <xf numFmtId="0" fontId="0" fillId="8" borderId="2" xfId="0" applyFill="1" applyBorder="1" applyAlignment="1">
      <alignment horizontal="left" vertical="top" wrapText="1"/>
    </xf>
    <xf numFmtId="0" fontId="0" fillId="8" borderId="9" xfId="0" applyFill="1" applyBorder="1" applyAlignment="1">
      <alignment horizontal="left" vertical="top" wrapText="1"/>
    </xf>
    <xf numFmtId="0" fontId="2" fillId="3" borderId="0" xfId="0" applyFont="1" applyFill="1" applyAlignment="1">
      <alignment horizontal="left" vertical="center"/>
    </xf>
    <xf numFmtId="0" fontId="23" fillId="5" borderId="4" xfId="0" applyFont="1" applyFill="1" applyBorder="1" applyAlignment="1">
      <alignment horizontal="center" vertical="top"/>
    </xf>
    <xf numFmtId="0" fontId="27" fillId="5" borderId="1" xfId="0" applyFont="1" applyFill="1" applyBorder="1" applyAlignment="1">
      <alignment horizontal="left" vertical="center" wrapText="1"/>
    </xf>
    <xf numFmtId="0" fontId="27" fillId="5" borderId="3" xfId="0" applyFont="1" applyFill="1" applyBorder="1" applyAlignment="1">
      <alignment horizontal="left" vertical="center" wrapText="1"/>
    </xf>
    <xf numFmtId="0" fontId="1" fillId="3" borderId="10" xfId="0" applyFont="1" applyFill="1" applyBorder="1" applyAlignment="1">
      <alignment horizontal="right" vertical="center" wrapText="1"/>
    </xf>
    <xf numFmtId="0" fontId="1" fillId="3" borderId="17"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8" fillId="3" borderId="10" xfId="0" applyFont="1" applyFill="1" applyBorder="1" applyAlignment="1">
      <alignment horizontal="right" vertical="center" wrapText="1"/>
    </xf>
    <xf numFmtId="0" fontId="8" fillId="3" borderId="5" xfId="0" applyFont="1" applyFill="1" applyBorder="1" applyAlignment="1">
      <alignment horizontal="right" vertical="center" wrapText="1"/>
    </xf>
    <xf numFmtId="0" fontId="8" fillId="3" borderId="17" xfId="0" applyFont="1" applyFill="1" applyBorder="1" applyAlignment="1">
      <alignment horizontal="right" vertical="center" wrapText="1"/>
    </xf>
    <xf numFmtId="0" fontId="18" fillId="3" borderId="10" xfId="0" applyFont="1" applyFill="1" applyBorder="1" applyAlignment="1">
      <alignment horizontal="right" vertical="center" wrapText="1"/>
    </xf>
    <xf numFmtId="0" fontId="18" fillId="3" borderId="5" xfId="0" applyFont="1" applyFill="1" applyBorder="1" applyAlignment="1">
      <alignment horizontal="right" vertical="center" wrapText="1"/>
    </xf>
    <xf numFmtId="0" fontId="82" fillId="3" borderId="10" xfId="0" applyFont="1" applyFill="1" applyBorder="1" applyAlignment="1">
      <alignment horizontal="right" vertical="center" wrapText="1"/>
    </xf>
    <xf numFmtId="0" fontId="82" fillId="3" borderId="5" xfId="0" applyFont="1" applyFill="1" applyBorder="1" applyAlignment="1">
      <alignment horizontal="right" vertical="center" wrapText="1"/>
    </xf>
    <xf numFmtId="0" fontId="17" fillId="3" borderId="10" xfId="0" applyFont="1" applyFill="1" applyBorder="1" applyAlignment="1">
      <alignment horizontal="right" vertical="center" wrapText="1"/>
    </xf>
    <xf numFmtId="0" fontId="17" fillId="3" borderId="5" xfId="0" applyFont="1" applyFill="1" applyBorder="1" applyAlignment="1">
      <alignment horizontal="right" vertical="center" wrapText="1"/>
    </xf>
    <xf numFmtId="0" fontId="8" fillId="3" borderId="1" xfId="0" applyFont="1" applyFill="1" applyBorder="1" applyAlignment="1">
      <alignment horizontal="right" wrapText="1"/>
    </xf>
    <xf numFmtId="0" fontId="8" fillId="3" borderId="3" xfId="0" applyFont="1" applyFill="1" applyBorder="1" applyAlignment="1">
      <alignment horizontal="right" wrapText="1"/>
    </xf>
    <xf numFmtId="0" fontId="63" fillId="8" borderId="13" xfId="0" applyFont="1" applyFill="1" applyBorder="1" applyAlignment="1">
      <alignment horizontal="left" vertical="top" wrapText="1"/>
    </xf>
    <xf numFmtId="0" fontId="63" fillId="8" borderId="12" xfId="0" applyFont="1" applyFill="1" applyBorder="1" applyAlignment="1">
      <alignment horizontal="left" vertical="top" wrapText="1"/>
    </xf>
    <xf numFmtId="0" fontId="63" fillId="8" borderId="2" xfId="0" applyFont="1" applyFill="1" applyBorder="1" applyAlignment="1">
      <alignment horizontal="left" vertical="top" wrapText="1"/>
    </xf>
    <xf numFmtId="0" fontId="63" fillId="8" borderId="11" xfId="0" applyFont="1" applyFill="1" applyBorder="1" applyAlignment="1">
      <alignment horizontal="left" vertical="top" wrapText="1"/>
    </xf>
    <xf numFmtId="0" fontId="64" fillId="5" borderId="13" xfId="0" applyFont="1" applyFill="1" applyBorder="1" applyAlignment="1">
      <alignment horizontal="left" vertical="top" wrapText="1"/>
    </xf>
    <xf numFmtId="0" fontId="64" fillId="5" borderId="12" xfId="0" applyFont="1" applyFill="1" applyBorder="1" applyAlignment="1">
      <alignment horizontal="left" vertical="top" wrapText="1"/>
    </xf>
    <xf numFmtId="0" fontId="64" fillId="5" borderId="2" xfId="0" applyFont="1" applyFill="1" applyBorder="1" applyAlignment="1">
      <alignment horizontal="left" vertical="top" wrapText="1"/>
    </xf>
    <xf numFmtId="0" fontId="64" fillId="5" borderId="11" xfId="0" applyFont="1" applyFill="1" applyBorder="1" applyAlignment="1">
      <alignment horizontal="left" vertical="top" wrapText="1"/>
    </xf>
    <xf numFmtId="0" fontId="24" fillId="9" borderId="13" xfId="0" applyFont="1" applyFill="1" applyBorder="1" applyAlignment="1">
      <alignment horizontal="left" vertical="center" wrapText="1"/>
    </xf>
    <xf numFmtId="0" fontId="24" fillId="9" borderId="14" xfId="0" applyFont="1" applyFill="1" applyBorder="1" applyAlignment="1">
      <alignment horizontal="left" vertical="center" wrapText="1"/>
    </xf>
    <xf numFmtId="0" fontId="8" fillId="10" borderId="6" xfId="0" applyFont="1" applyFill="1" applyBorder="1" applyAlignment="1">
      <alignment horizontal="right"/>
    </xf>
    <xf numFmtId="0" fontId="8" fillId="10" borderId="7" xfId="0" applyFont="1" applyFill="1" applyBorder="1" applyAlignment="1">
      <alignment horizontal="right"/>
    </xf>
    <xf numFmtId="0" fontId="8" fillId="10" borderId="6" xfId="0" applyFont="1" applyFill="1" applyBorder="1" applyAlignment="1">
      <alignment horizontal="right" wrapText="1"/>
    </xf>
    <xf numFmtId="0" fontId="8" fillId="10" borderId="0" xfId="0" applyFont="1" applyFill="1" applyBorder="1" applyAlignment="1">
      <alignment horizontal="right" wrapText="1"/>
    </xf>
    <xf numFmtId="0" fontId="8" fillId="3" borderId="13" xfId="0" applyFont="1" applyFill="1" applyBorder="1" applyAlignment="1">
      <alignment horizontal="right" vertical="center" wrapText="1"/>
    </xf>
    <xf numFmtId="0" fontId="8" fillId="3" borderId="6" xfId="0" applyFont="1" applyFill="1" applyBorder="1" applyAlignment="1">
      <alignment horizontal="right" vertical="center" wrapText="1"/>
    </xf>
    <xf numFmtId="0" fontId="81" fillId="3" borderId="13" xfId="0" applyFont="1" applyFill="1" applyBorder="1" applyAlignment="1">
      <alignment horizontal="right" vertical="center" wrapText="1"/>
    </xf>
    <xf numFmtId="0" fontId="81" fillId="3" borderId="2" xfId="0" applyFont="1" applyFill="1" applyBorder="1" applyAlignment="1">
      <alignment horizontal="right" vertical="center" wrapText="1"/>
    </xf>
    <xf numFmtId="0" fontId="17" fillId="3" borderId="13" xfId="0" quotePrefix="1" applyFont="1" applyFill="1" applyBorder="1" applyAlignment="1">
      <alignment horizontal="right" vertical="center" wrapText="1"/>
    </xf>
    <xf numFmtId="0" fontId="17" fillId="3" borderId="2" xfId="0" applyFont="1" applyFill="1" applyBorder="1" applyAlignment="1">
      <alignment horizontal="right" vertical="center" wrapText="1"/>
    </xf>
    <xf numFmtId="0" fontId="18" fillId="3" borderId="13" xfId="0" quotePrefix="1" applyFont="1" applyFill="1" applyBorder="1" applyAlignment="1">
      <alignment horizontal="right" vertical="center" wrapText="1"/>
    </xf>
    <xf numFmtId="0" fontId="18" fillId="3" borderId="6" xfId="0" applyFont="1" applyFill="1" applyBorder="1" applyAlignment="1">
      <alignment horizontal="right" vertical="center" wrapText="1"/>
    </xf>
    <xf numFmtId="0" fontId="17" fillId="10" borderId="0" xfId="0" quotePrefix="1" applyFont="1" applyFill="1" applyBorder="1" applyAlignment="1">
      <alignment horizontal="right" vertical="center" wrapText="1"/>
    </xf>
    <xf numFmtId="0" fontId="17" fillId="10" borderId="0" xfId="0" applyFont="1" applyFill="1" applyBorder="1" applyAlignment="1">
      <alignment horizontal="right" vertical="center" wrapText="1"/>
    </xf>
    <xf numFmtId="0" fontId="81" fillId="10" borderId="0" xfId="0" applyFont="1" applyFill="1" applyBorder="1" applyAlignment="1">
      <alignment horizontal="right" vertical="center" wrapText="1"/>
    </xf>
    <xf numFmtId="0" fontId="18" fillId="10" borderId="0" xfId="0" quotePrefix="1" applyFont="1" applyFill="1" applyBorder="1" applyAlignment="1">
      <alignment horizontal="right" vertical="center" wrapText="1"/>
    </xf>
    <xf numFmtId="0" fontId="18" fillId="10" borderId="0" xfId="0" applyFont="1" applyFill="1" applyBorder="1" applyAlignment="1">
      <alignment horizontal="right" vertical="center" wrapText="1"/>
    </xf>
    <xf numFmtId="0" fontId="8" fillId="10" borderId="13" xfId="0" applyFont="1" applyFill="1" applyBorder="1" applyAlignment="1">
      <alignment horizontal="right" vertical="center" wrapText="1"/>
    </xf>
    <xf numFmtId="0" fontId="8" fillId="10" borderId="2" xfId="0" applyFont="1" applyFill="1" applyBorder="1" applyAlignment="1">
      <alignment horizontal="right" vertical="center" wrapText="1"/>
    </xf>
    <xf numFmtId="0" fontId="24" fillId="5" borderId="1"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8" fillId="3" borderId="2" xfId="0" applyFont="1" applyFill="1" applyBorder="1" applyAlignment="1">
      <alignment horizontal="right" vertical="center" wrapText="1"/>
    </xf>
    <xf numFmtId="0" fontId="24" fillId="5" borderId="13" xfId="0" applyFont="1" applyFill="1" applyBorder="1" applyAlignment="1">
      <alignment horizontal="left" vertical="center" wrapText="1"/>
    </xf>
    <xf numFmtId="0" fontId="24" fillId="5" borderId="12" xfId="0" applyFont="1" applyFill="1" applyBorder="1" applyAlignment="1">
      <alignment horizontal="left" vertical="center" wrapText="1"/>
    </xf>
    <xf numFmtId="0" fontId="8" fillId="10" borderId="6" xfId="0" applyFont="1" applyFill="1" applyBorder="1" applyAlignment="1">
      <alignment horizontal="right" vertical="center" wrapText="1"/>
    </xf>
    <xf numFmtId="0" fontId="1" fillId="10" borderId="13" xfId="0" applyFont="1" applyFill="1" applyBorder="1" applyAlignment="1">
      <alignment horizontal="right" vertical="center" wrapText="1"/>
    </xf>
    <xf numFmtId="0" fontId="1" fillId="10" borderId="6" xfId="0" applyFont="1" applyFill="1" applyBorder="1" applyAlignment="1">
      <alignment horizontal="right" vertical="center" wrapText="1"/>
    </xf>
    <xf numFmtId="0" fontId="54" fillId="3" borderId="10" xfId="0" applyFont="1" applyFill="1" applyBorder="1" applyAlignment="1">
      <alignment horizontal="right" vertical="center" wrapText="1"/>
    </xf>
    <xf numFmtId="0" fontId="54" fillId="3" borderId="5" xfId="0" applyFont="1" applyFill="1" applyBorder="1" applyAlignment="1">
      <alignment horizontal="right" vertical="center" wrapText="1"/>
    </xf>
    <xf numFmtId="0" fontId="21" fillId="3" borderId="6" xfId="0" applyFont="1" applyFill="1" applyBorder="1" applyAlignment="1">
      <alignment horizontal="right" vertical="center" wrapText="1"/>
    </xf>
    <xf numFmtId="0" fontId="21" fillId="3" borderId="6" xfId="0" applyFont="1" applyFill="1" applyBorder="1" applyAlignment="1">
      <alignment horizontal="right" vertical="center"/>
    </xf>
    <xf numFmtId="0" fontId="21" fillId="3" borderId="2" xfId="0" applyFont="1" applyFill="1" applyBorder="1" applyAlignment="1">
      <alignment horizontal="right" vertical="center"/>
    </xf>
    <xf numFmtId="0" fontId="57" fillId="5" borderId="1" xfId="0" applyFont="1" applyFill="1" applyBorder="1" applyAlignment="1">
      <alignment horizontal="left" vertical="center" wrapText="1"/>
    </xf>
    <xf numFmtId="0" fontId="57" fillId="5" borderId="3" xfId="0" applyFont="1" applyFill="1" applyBorder="1" applyAlignment="1">
      <alignment horizontal="left" vertical="center" wrapText="1"/>
    </xf>
    <xf numFmtId="0" fontId="59" fillId="3" borderId="13" xfId="0" applyFont="1" applyFill="1" applyBorder="1" applyAlignment="1">
      <alignment horizontal="right" vertical="center" wrapText="1"/>
    </xf>
    <xf numFmtId="0" fontId="59" fillId="3" borderId="6" xfId="0" applyFont="1" applyFill="1" applyBorder="1" applyAlignment="1">
      <alignment horizontal="right" vertical="center" wrapText="1"/>
    </xf>
    <xf numFmtId="0" fontId="59" fillId="3" borderId="2" xfId="0" applyFont="1" applyFill="1" applyBorder="1" applyAlignment="1">
      <alignment horizontal="right" vertical="center" wrapText="1"/>
    </xf>
    <xf numFmtId="0" fontId="55" fillId="3" borderId="13" xfId="0" quotePrefix="1" applyFont="1" applyFill="1" applyBorder="1" applyAlignment="1">
      <alignment horizontal="right" vertical="center" wrapText="1"/>
    </xf>
    <xf numFmtId="0" fontId="61" fillId="3" borderId="2" xfId="0" applyFont="1" applyFill="1" applyBorder="1" applyAlignment="1">
      <alignment horizontal="right" vertical="center" wrapText="1"/>
    </xf>
    <xf numFmtId="0" fontId="55" fillId="3" borderId="2" xfId="0" applyFont="1" applyFill="1" applyBorder="1" applyAlignment="1">
      <alignment horizontal="right" vertical="center" wrapText="1"/>
    </xf>
    <xf numFmtId="0" fontId="8" fillId="10" borderId="2" xfId="0" applyFont="1" applyFill="1" applyBorder="1" applyAlignment="1">
      <alignment horizontal="right" wrapText="1"/>
    </xf>
    <xf numFmtId="0" fontId="8" fillId="10" borderId="9" xfId="0" applyFont="1" applyFill="1" applyBorder="1" applyAlignment="1">
      <alignment horizontal="right" wrapText="1"/>
    </xf>
    <xf numFmtId="0" fontId="55" fillId="3" borderId="13" xfId="0" applyFont="1" applyFill="1" applyBorder="1" applyAlignment="1">
      <alignment horizontal="right" vertical="center" wrapText="1"/>
    </xf>
    <xf numFmtId="0" fontId="60" fillId="3" borderId="13" xfId="0" applyFont="1" applyFill="1" applyBorder="1" applyAlignment="1">
      <alignment horizontal="right" vertical="center" wrapText="1"/>
    </xf>
    <xf numFmtId="0" fontId="60" fillId="3" borderId="2" xfId="0" applyFont="1" applyFill="1" applyBorder="1" applyAlignment="1">
      <alignment horizontal="right" vertical="center" wrapText="1"/>
    </xf>
    <xf numFmtId="0" fontId="0" fillId="3" borderId="6" xfId="0" applyFill="1" applyBorder="1" applyAlignment="1">
      <alignment horizontal="right" vertical="center" wrapText="1"/>
    </xf>
    <xf numFmtId="0" fontId="0" fillId="3" borderId="6" xfId="0" applyFill="1" applyBorder="1" applyAlignment="1">
      <alignment horizontal="right" vertical="center"/>
    </xf>
    <xf numFmtId="0" fontId="0" fillId="3" borderId="2" xfId="0" applyFill="1" applyBorder="1" applyAlignment="1">
      <alignment horizontal="right" vertical="center"/>
    </xf>
    <xf numFmtId="0" fontId="0" fillId="3" borderId="10" xfId="0" applyFill="1" applyBorder="1" applyAlignment="1">
      <alignment horizontal="right" vertical="center" wrapText="1"/>
    </xf>
    <xf numFmtId="0" fontId="0" fillId="3" borderId="17" xfId="0" applyFill="1" applyBorder="1" applyAlignment="1">
      <alignment horizontal="right" vertical="center" wrapText="1"/>
    </xf>
    <xf numFmtId="0" fontId="0" fillId="3" borderId="5" xfId="0" applyFill="1" applyBorder="1" applyAlignment="1">
      <alignment horizontal="right" vertical="center" wrapText="1"/>
    </xf>
    <xf numFmtId="0" fontId="54" fillId="3" borderId="6" xfId="0" applyFont="1" applyFill="1" applyBorder="1" applyAlignment="1">
      <alignment horizontal="right" vertical="center" wrapText="1"/>
    </xf>
    <xf numFmtId="0" fontId="54" fillId="3" borderId="6" xfId="0" applyFont="1" applyFill="1" applyBorder="1" applyAlignment="1">
      <alignment horizontal="right" vertical="center"/>
    </xf>
    <xf numFmtId="0" fontId="54" fillId="3" borderId="2" xfId="0" applyFont="1" applyFill="1" applyBorder="1" applyAlignment="1">
      <alignment horizontal="right" vertical="center"/>
    </xf>
    <xf numFmtId="0" fontId="2" fillId="9" borderId="4" xfId="0" applyFont="1" applyFill="1" applyBorder="1" applyAlignment="1">
      <alignment horizontal="left" vertical="top" wrapText="1"/>
    </xf>
    <xf numFmtId="0" fontId="2" fillId="9" borderId="1" xfId="0" applyFont="1" applyFill="1" applyBorder="1" applyAlignment="1">
      <alignment horizontal="left" vertical="top" wrapText="1"/>
    </xf>
    <xf numFmtId="0" fontId="1" fillId="3" borderId="6" xfId="0" applyFont="1" applyFill="1" applyBorder="1" applyAlignment="1">
      <alignment horizontal="right" vertical="center" wrapText="1"/>
    </xf>
    <xf numFmtId="0" fontId="1" fillId="3" borderId="6" xfId="0" applyFont="1" applyFill="1" applyBorder="1" applyAlignment="1">
      <alignment horizontal="right" vertical="center"/>
    </xf>
    <xf numFmtId="0" fontId="1" fillId="3" borderId="2" xfId="0" applyFont="1" applyFill="1" applyBorder="1" applyAlignment="1">
      <alignment horizontal="right" vertical="center"/>
    </xf>
    <xf numFmtId="0" fontId="23" fillId="5" borderId="3" xfId="0" applyFont="1" applyFill="1" applyBorder="1" applyAlignment="1">
      <alignment horizontal="center" vertical="top"/>
    </xf>
    <xf numFmtId="0" fontId="2" fillId="5" borderId="1" xfId="0" applyFont="1" applyFill="1" applyBorder="1" applyAlignment="1">
      <alignment horizontal="right"/>
    </xf>
    <xf numFmtId="0" fontId="2" fillId="5" borderId="3" xfId="0" applyFont="1" applyFill="1" applyBorder="1" applyAlignment="1">
      <alignment horizontal="right"/>
    </xf>
    <xf numFmtId="0" fontId="26" fillId="5" borderId="4" xfId="0" applyFont="1" applyFill="1" applyBorder="1" applyAlignment="1">
      <alignment horizontal="center" wrapText="1"/>
    </xf>
    <xf numFmtId="0" fontId="76" fillId="10" borderId="2" xfId="0" applyFont="1" applyFill="1" applyBorder="1" applyAlignment="1">
      <alignment horizontal="left"/>
    </xf>
    <xf numFmtId="0" fontId="76" fillId="10" borderId="11" xfId="0" applyFont="1" applyFill="1" applyBorder="1" applyAlignment="1">
      <alignment horizontal="left"/>
    </xf>
    <xf numFmtId="0" fontId="76" fillId="10" borderId="1" xfId="0" applyFont="1" applyFill="1" applyBorder="1" applyAlignment="1">
      <alignment horizontal="left" wrapText="1"/>
    </xf>
    <xf numFmtId="0" fontId="76" fillId="10" borderId="3" xfId="0" applyFont="1" applyFill="1" applyBorder="1" applyAlignment="1">
      <alignment horizontal="left" wrapText="1"/>
    </xf>
    <xf numFmtId="0" fontId="56" fillId="5" borderId="4" xfId="0" applyFont="1" applyFill="1" applyBorder="1" applyAlignment="1">
      <alignment horizontal="center" vertical="top"/>
    </xf>
    <xf numFmtId="0" fontId="23" fillId="5" borderId="1" xfId="0" applyFont="1" applyFill="1" applyBorder="1" applyAlignment="1">
      <alignment horizontal="center" vertical="top"/>
    </xf>
    <xf numFmtId="0" fontId="63" fillId="5" borderId="13" xfId="0" applyFont="1" applyFill="1" applyBorder="1" applyAlignment="1">
      <alignment horizontal="left" vertical="top" wrapText="1"/>
    </xf>
    <xf numFmtId="0" fontId="63" fillId="5" borderId="12" xfId="0" applyFont="1" applyFill="1" applyBorder="1" applyAlignment="1">
      <alignment horizontal="left" vertical="top" wrapText="1"/>
    </xf>
    <xf numFmtId="0" fontId="63" fillId="5" borderId="2" xfId="0" applyFont="1" applyFill="1" applyBorder="1" applyAlignment="1">
      <alignment horizontal="left" vertical="top" wrapText="1"/>
    </xf>
    <xf numFmtId="0" fontId="63" fillId="5" borderId="11" xfId="0" applyFont="1" applyFill="1" applyBorder="1" applyAlignment="1">
      <alignment horizontal="left" vertical="top" wrapText="1"/>
    </xf>
    <xf numFmtId="0" fontId="2" fillId="4" borderId="9" xfId="0" applyFont="1" applyFill="1" applyBorder="1" applyAlignment="1">
      <alignment horizontal="left"/>
    </xf>
    <xf numFmtId="0" fontId="1" fillId="0" borderId="14" xfId="0" applyFont="1" applyFill="1" applyBorder="1" applyAlignment="1">
      <alignment horizontal="left" vertical="top" wrapText="1"/>
    </xf>
    <xf numFmtId="0" fontId="1" fillId="0" borderId="0" xfId="0" applyFont="1" applyFill="1" applyBorder="1" applyAlignment="1">
      <alignment horizontal="left" vertical="top" wrapText="1"/>
    </xf>
    <xf numFmtId="164" fontId="80" fillId="4" borderId="10" xfId="0" applyNumberFormat="1"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CCCCFF"/>
      <color rgb="FFFF5050"/>
      <color rgb="FF993300"/>
      <color rgb="FFFFFF99"/>
      <color rgb="FFCC0099"/>
      <color rgb="FF0000FF"/>
      <color rgb="FF3399FF"/>
      <color rgb="FFFF9999"/>
      <color rgb="FFFF66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a:t>Custom effect</a:t>
            </a:r>
          </a:p>
        </c:rich>
      </c:tx>
      <c:layout>
        <c:manualLayout>
          <c:xMode val="edge"/>
          <c:yMode val="edge"/>
          <c:x val="2.3715324046032708E-2"/>
          <c:y val="8.7336155052690476E-2"/>
        </c:manualLayout>
      </c:layout>
      <c:overlay val="0"/>
      <c:spPr>
        <a:noFill/>
        <a:ln w="25400">
          <a:noFill/>
        </a:ln>
      </c:spPr>
    </c:title>
    <c:autoTitleDeleted val="0"/>
    <c:plotArea>
      <c:layout>
        <c:manualLayout>
          <c:layoutTarget val="inner"/>
          <c:xMode val="edge"/>
          <c:yMode val="edge"/>
          <c:x val="0.15027982226601655"/>
          <c:y val="0.2221810669442299"/>
          <c:w val="0.80353700885094559"/>
          <c:h val="0.64693898904349301"/>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linear"/>
            <c:dispRSqr val="0"/>
            <c:dispEq val="0"/>
          </c:trendline>
          <c:xVal>
            <c:numRef>
              <c:f>Sheet1!$D$52:$D$71</c:f>
              <c:numCache>
                <c:formatCode>General</c:formatCode>
                <c:ptCount val="20"/>
                <c:pt idx="0">
                  <c:v>8.1</c:v>
                </c:pt>
                <c:pt idx="1">
                  <c:v>6.1</c:v>
                </c:pt>
                <c:pt idx="2">
                  <c:v>10.9</c:v>
                </c:pt>
                <c:pt idx="3">
                  <c:v>14</c:v>
                </c:pt>
                <c:pt idx="4">
                  <c:v>12.1</c:v>
                </c:pt>
                <c:pt idx="5">
                  <c:v>8.6999999999999993</c:v>
                </c:pt>
                <c:pt idx="6">
                  <c:v>7.6</c:v>
                </c:pt>
                <c:pt idx="7">
                  <c:v>12.4</c:v>
                </c:pt>
                <c:pt idx="8">
                  <c:v>7.3</c:v>
                </c:pt>
                <c:pt idx="9">
                  <c:v>12.3</c:v>
                </c:pt>
                <c:pt idx="10">
                  <c:v>9.1999999999999993</c:v>
                </c:pt>
                <c:pt idx="11">
                  <c:v>6.2</c:v>
                </c:pt>
                <c:pt idx="12">
                  <c:v>9.4</c:v>
                </c:pt>
                <c:pt idx="13">
                  <c:v>7.6</c:v>
                </c:pt>
                <c:pt idx="14">
                  <c:v>14.7</c:v>
                </c:pt>
                <c:pt idx="15">
                  <c:v>11.1</c:v>
                </c:pt>
                <c:pt idx="16">
                  <c:v>11.4</c:v>
                </c:pt>
                <c:pt idx="17">
                  <c:v>9.1999999999999993</c:v>
                </c:pt>
                <c:pt idx="18">
                  <c:v>10</c:v>
                </c:pt>
                <c:pt idx="19">
                  <c:v>7.1</c:v>
                </c:pt>
              </c:numCache>
            </c:numRef>
          </c:xVal>
          <c:yVal>
            <c:numRef>
              <c:f>Sheet1!$M$52:$M$71</c:f>
              <c:numCache>
                <c:formatCode>0.0</c:formatCode>
                <c:ptCount val="20"/>
                <c:pt idx="0">
                  <c:v>-2.25</c:v>
                </c:pt>
                <c:pt idx="1">
                  <c:v>4.9500000000000455</c:v>
                </c:pt>
                <c:pt idx="2">
                  <c:v>4.3000000000000114</c:v>
                </c:pt>
                <c:pt idx="3">
                  <c:v>10.500000000000057</c:v>
                </c:pt>
                <c:pt idx="4">
                  <c:v>10.350000000000023</c:v>
                </c:pt>
                <c:pt idx="5">
                  <c:v>3.4500000000000455</c:v>
                </c:pt>
                <c:pt idx="6">
                  <c:v>4.1499999999999773</c:v>
                </c:pt>
                <c:pt idx="7">
                  <c:v>-9.6499999999999773</c:v>
                </c:pt>
                <c:pt idx="8">
                  <c:v>-6.6999999999999886</c:v>
                </c:pt>
                <c:pt idx="9">
                  <c:v>0.44999999999998863</c:v>
                </c:pt>
                <c:pt idx="10">
                  <c:v>-4.4499999999999886</c:v>
                </c:pt>
                <c:pt idx="11">
                  <c:v>-1.1000000000000227</c:v>
                </c:pt>
                <c:pt idx="12">
                  <c:v>8.9499999999999318</c:v>
                </c:pt>
                <c:pt idx="13">
                  <c:v>-1.8000000000000114</c:v>
                </c:pt>
                <c:pt idx="14">
                  <c:v>0.60000000000002274</c:v>
                </c:pt>
                <c:pt idx="15">
                  <c:v>4.3499999999999659</c:v>
                </c:pt>
                <c:pt idx="16">
                  <c:v>8.3000000000000114</c:v>
                </c:pt>
                <c:pt idx="17">
                  <c:v>4.1000000000000227</c:v>
                </c:pt>
                <c:pt idx="18">
                  <c:v>1</c:v>
                </c:pt>
                <c:pt idx="19">
                  <c:v>4.7999999999999545</c:v>
                </c:pt>
              </c:numCache>
            </c:numRef>
          </c:yVal>
          <c:smooth val="0"/>
          <c:extLst>
            <c:ext xmlns:c16="http://schemas.microsoft.com/office/drawing/2014/chart" uri="{C3380CC4-5D6E-409C-BE32-E72D297353CC}">
              <c16:uniqueId val="{00000000-5DBA-4061-B724-416588C2ACED}"/>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linear"/>
            <c:dispRSqr val="0"/>
            <c:dispEq val="0"/>
          </c:trendline>
          <c:xVal>
            <c:numRef>
              <c:f>Sheet1!$D$85:$D$104</c:f>
              <c:numCache>
                <c:formatCode>General</c:formatCode>
                <c:ptCount val="20"/>
                <c:pt idx="0">
                  <c:v>7.4</c:v>
                </c:pt>
                <c:pt idx="1">
                  <c:v>4.5</c:v>
                </c:pt>
                <c:pt idx="2">
                  <c:v>10.4</c:v>
                </c:pt>
                <c:pt idx="3">
                  <c:v>13.5</c:v>
                </c:pt>
                <c:pt idx="4">
                  <c:v>11.1</c:v>
                </c:pt>
                <c:pt idx="5">
                  <c:v>7.8</c:v>
                </c:pt>
                <c:pt idx="6">
                  <c:v>8.1</c:v>
                </c:pt>
                <c:pt idx="7">
                  <c:v>9.4</c:v>
                </c:pt>
                <c:pt idx="8">
                  <c:v>7.8</c:v>
                </c:pt>
                <c:pt idx="9">
                  <c:v>12.7</c:v>
                </c:pt>
                <c:pt idx="10">
                  <c:v>9.1999999999999993</c:v>
                </c:pt>
                <c:pt idx="11">
                  <c:v>7.8</c:v>
                </c:pt>
                <c:pt idx="12">
                  <c:v>9.8000000000000007</c:v>
                </c:pt>
                <c:pt idx="13">
                  <c:v>9.6</c:v>
                </c:pt>
                <c:pt idx="14">
                  <c:v>14</c:v>
                </c:pt>
                <c:pt idx="15">
                  <c:v>10.5</c:v>
                </c:pt>
                <c:pt idx="16">
                  <c:v>9.5</c:v>
                </c:pt>
                <c:pt idx="17">
                  <c:v>9.3000000000000007</c:v>
                </c:pt>
                <c:pt idx="18">
                  <c:v>10.199999999999999</c:v>
                </c:pt>
                <c:pt idx="19">
                  <c:v>9.1999999999999993</c:v>
                </c:pt>
              </c:numCache>
            </c:numRef>
          </c:xVal>
          <c:yVal>
            <c:numRef>
              <c:f>Sheet1!$M$85:$M$104</c:f>
              <c:numCache>
                <c:formatCode>0.0</c:formatCode>
                <c:ptCount val="20"/>
                <c:pt idx="0">
                  <c:v>8.1000000000000227</c:v>
                </c:pt>
                <c:pt idx="1">
                  <c:v>24.25</c:v>
                </c:pt>
                <c:pt idx="2">
                  <c:v>20</c:v>
                </c:pt>
                <c:pt idx="3">
                  <c:v>-4.5999999999999659</c:v>
                </c:pt>
                <c:pt idx="4">
                  <c:v>8.0000000000000568</c:v>
                </c:pt>
                <c:pt idx="5">
                  <c:v>20.699999999999989</c:v>
                </c:pt>
                <c:pt idx="6">
                  <c:v>6.1000000000000227</c:v>
                </c:pt>
                <c:pt idx="7">
                  <c:v>8.1499999999999773</c:v>
                </c:pt>
                <c:pt idx="8">
                  <c:v>24.350000000000023</c:v>
                </c:pt>
                <c:pt idx="9">
                  <c:v>-1.1000000000000227</c:v>
                </c:pt>
                <c:pt idx="10">
                  <c:v>5.5500000000000114</c:v>
                </c:pt>
                <c:pt idx="11">
                  <c:v>9.6500000000000341</c:v>
                </c:pt>
                <c:pt idx="12">
                  <c:v>-0.80000000000001137</c:v>
                </c:pt>
                <c:pt idx="13">
                  <c:v>22.699999999999989</c:v>
                </c:pt>
                <c:pt idx="14">
                  <c:v>15.050000000000011</c:v>
                </c:pt>
                <c:pt idx="15">
                  <c:v>11</c:v>
                </c:pt>
                <c:pt idx="16">
                  <c:v>15.700000000000045</c:v>
                </c:pt>
                <c:pt idx="17">
                  <c:v>9.8000000000000114</c:v>
                </c:pt>
                <c:pt idx="18">
                  <c:v>7.1000000000000227</c:v>
                </c:pt>
                <c:pt idx="19">
                  <c:v>3.5999999999999659</c:v>
                </c:pt>
              </c:numCache>
            </c:numRef>
          </c:yVal>
          <c:smooth val="0"/>
          <c:extLst>
            <c:ext xmlns:c16="http://schemas.microsoft.com/office/drawing/2014/chart" uri="{C3380CC4-5D6E-409C-BE32-E72D297353CC}">
              <c16:uniqueId val="{00000001-5DBA-4061-B724-416588C2ACED}"/>
            </c:ext>
          </c:extLst>
        </c:ser>
        <c:ser>
          <c:idx val="2"/>
          <c:order val="2"/>
          <c:tx>
            <c:strRef>
              <c:f>Sheet1!$M$119</c:f>
              <c:strCache>
                <c:ptCount val="1"/>
                <c:pt idx="0">
                  <c:v>Value of X1</c:v>
                </c:pt>
              </c:strCache>
            </c:strRef>
          </c:tx>
          <c:spPr>
            <a:ln w="12700">
              <a:solidFill>
                <a:srgbClr val="000000"/>
              </a:solidFill>
              <a:prstDash val="sysDash"/>
            </a:ln>
          </c:spPr>
          <c:marker>
            <c:symbol val="none"/>
          </c:marker>
          <c:xVal>
            <c:numRef>
              <c:f>Sheet1!$M$122:$M$123</c:f>
              <c:numCache>
                <c:formatCode>0.00</c:formatCode>
                <c:ptCount val="2"/>
                <c:pt idx="0">
                  <c:v>9.68</c:v>
                </c:pt>
                <c:pt idx="1">
                  <c:v>9.68</c:v>
                </c:pt>
              </c:numCache>
            </c:numRef>
          </c:xVal>
          <c:yVal>
            <c:numRef>
              <c:f>Sheet1!$M$120:$M$121</c:f>
              <c:numCache>
                <c:formatCode>0.00</c:formatCode>
                <c:ptCount val="2"/>
                <c:pt idx="0">
                  <c:v>6.4400000000000066</c:v>
                </c:pt>
                <c:pt idx="1">
                  <c:v>6.4400000000000066</c:v>
                </c:pt>
              </c:numCache>
            </c:numRef>
          </c:yVal>
          <c:smooth val="0"/>
          <c:extLst>
            <c:ext xmlns:c16="http://schemas.microsoft.com/office/drawing/2014/chart" uri="{C3380CC4-5D6E-409C-BE32-E72D297353CC}">
              <c16:uniqueId val="{00000002-5DBA-4061-B724-416588C2ACED}"/>
            </c:ext>
          </c:extLst>
        </c:ser>
        <c:dLbls>
          <c:showLegendKey val="0"/>
          <c:showVal val="0"/>
          <c:showCatName val="0"/>
          <c:showSerName val="0"/>
          <c:showPercent val="0"/>
          <c:showBubbleSize val="0"/>
        </c:dLbls>
        <c:axId val="218782336"/>
        <c:axId val="236131456"/>
      </c:scatterChart>
      <c:valAx>
        <c:axId val="218782336"/>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Predictor</a:t>
                </a:r>
              </a:p>
            </c:rich>
          </c:tx>
          <c:layout>
            <c:manualLayout>
              <c:xMode val="edge"/>
              <c:yMode val="edge"/>
              <c:x val="0.43220916616192206"/>
              <c:y val="0.879211889054408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36131456"/>
        <c:crosses val="autoZero"/>
        <c:crossBetween val="midCat"/>
      </c:valAx>
      <c:valAx>
        <c:axId val="236131456"/>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8782336"/>
        <c:crosses val="autoZero"/>
        <c:crossBetween val="midCat"/>
      </c:valAx>
      <c:spPr>
        <a:solidFill>
          <a:srgbClr val="FFFFFF"/>
        </a:solidFill>
        <a:ln w="12700">
          <a:solidFill>
            <a:srgbClr val="808080"/>
          </a:solidFill>
          <a:prstDash val="solid"/>
        </a:ln>
      </c:spPr>
    </c:plotArea>
    <c:legend>
      <c:legendPos val="r"/>
      <c:layout>
        <c:manualLayout>
          <c:xMode val="edge"/>
          <c:yMode val="edge"/>
          <c:x val="0.44680718756309307"/>
          <c:y val="1.7683825557841305E-2"/>
          <c:w val="0.49914435695538056"/>
          <c:h val="0.19044241091485184"/>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sz="900" b="0" i="0" kern="1200" baseline="0">
                <a:solidFill>
                  <a:srgbClr val="000000"/>
                </a:solidFill>
                <a:effectLst/>
                <a:latin typeface="Arial Narrow"/>
                <a:ea typeface="Arial Narrow"/>
                <a:cs typeface="Arial Narrow"/>
              </a:rPr>
              <a:t>Custom effect</a:t>
            </a:r>
            <a:endParaRPr lang="en-US">
              <a:effectLst/>
            </a:endParaRPr>
          </a:p>
        </c:rich>
      </c:tx>
      <c:layout>
        <c:manualLayout>
          <c:xMode val="edge"/>
          <c:yMode val="edge"/>
          <c:x val="1.9762971936200281E-2"/>
          <c:y val="8.6956641681051119E-2"/>
        </c:manualLayout>
      </c:layout>
      <c:overlay val="0"/>
      <c:spPr>
        <a:noFill/>
        <a:ln w="25400">
          <a:noFill/>
        </a:ln>
      </c:spPr>
    </c:title>
    <c:autoTitleDeleted val="0"/>
    <c:plotArea>
      <c:layout>
        <c:manualLayout>
          <c:layoutTarget val="inner"/>
          <c:xMode val="edge"/>
          <c:yMode val="edge"/>
          <c:x val="0.15027982226601655"/>
          <c:y val="0.25285397064195847"/>
          <c:w val="0.80353700885094559"/>
          <c:h val="0.62212734165284467"/>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linear"/>
            <c:dispRSqr val="0"/>
            <c:dispEq val="0"/>
          </c:trendline>
          <c:xVal>
            <c:numRef>
              <c:f>Sheet1!$E$52:$E$71</c:f>
              <c:numCache>
                <c:formatCode>General</c:formatCode>
                <c:ptCount val="20"/>
                <c:pt idx="0">
                  <c:v>395.55</c:v>
                </c:pt>
                <c:pt idx="1">
                  <c:v>406.15</c:v>
                </c:pt>
                <c:pt idx="2">
                  <c:v>398.7</c:v>
                </c:pt>
                <c:pt idx="3">
                  <c:v>398.29999999999995</c:v>
                </c:pt>
                <c:pt idx="4">
                  <c:v>401.95</c:v>
                </c:pt>
                <c:pt idx="5">
                  <c:v>402.65</c:v>
                </c:pt>
                <c:pt idx="6">
                  <c:v>394.75</c:v>
                </c:pt>
                <c:pt idx="7">
                  <c:v>403.54999999999995</c:v>
                </c:pt>
                <c:pt idx="8">
                  <c:v>409.2</c:v>
                </c:pt>
                <c:pt idx="9">
                  <c:v>401.95</c:v>
                </c:pt>
                <c:pt idx="10">
                  <c:v>403.25</c:v>
                </c:pt>
                <c:pt idx="11">
                  <c:v>399.20000000000005</c:v>
                </c:pt>
                <c:pt idx="12">
                  <c:v>397.45000000000005</c:v>
                </c:pt>
                <c:pt idx="13">
                  <c:v>408.1</c:v>
                </c:pt>
                <c:pt idx="14">
                  <c:v>408.9</c:v>
                </c:pt>
                <c:pt idx="15">
                  <c:v>395.85</c:v>
                </c:pt>
                <c:pt idx="16">
                  <c:v>404.8</c:v>
                </c:pt>
                <c:pt idx="17">
                  <c:v>391.2</c:v>
                </c:pt>
                <c:pt idx="18">
                  <c:v>398.1</c:v>
                </c:pt>
                <c:pt idx="19">
                  <c:v>408.1</c:v>
                </c:pt>
              </c:numCache>
            </c:numRef>
          </c:xVal>
          <c:yVal>
            <c:numRef>
              <c:f>Sheet1!$N$52:$N$71</c:f>
              <c:numCache>
                <c:formatCode>0.0</c:formatCode>
                <c:ptCount val="20"/>
                <c:pt idx="0">
                  <c:v>-2.25</c:v>
                </c:pt>
                <c:pt idx="1">
                  <c:v>4.9500000000000455</c:v>
                </c:pt>
                <c:pt idx="2">
                  <c:v>4.3000000000000114</c:v>
                </c:pt>
                <c:pt idx="3">
                  <c:v>10.500000000000057</c:v>
                </c:pt>
                <c:pt idx="4">
                  <c:v>10.350000000000023</c:v>
                </c:pt>
                <c:pt idx="5">
                  <c:v>3.4500000000000455</c:v>
                </c:pt>
                <c:pt idx="6">
                  <c:v>4.1499999999999773</c:v>
                </c:pt>
                <c:pt idx="7">
                  <c:v>-9.6499999999999773</c:v>
                </c:pt>
                <c:pt idx="8">
                  <c:v>-6.6999999999999886</c:v>
                </c:pt>
                <c:pt idx="9">
                  <c:v>0.44999999999998863</c:v>
                </c:pt>
                <c:pt idx="10">
                  <c:v>-4.4499999999999886</c:v>
                </c:pt>
                <c:pt idx="11">
                  <c:v>-1.1000000000000227</c:v>
                </c:pt>
                <c:pt idx="12">
                  <c:v>8.9499999999999318</c:v>
                </c:pt>
                <c:pt idx="13">
                  <c:v>-1.8000000000000114</c:v>
                </c:pt>
                <c:pt idx="14">
                  <c:v>0.60000000000002274</c:v>
                </c:pt>
                <c:pt idx="15">
                  <c:v>4.3499999999999659</c:v>
                </c:pt>
                <c:pt idx="16">
                  <c:v>8.3000000000000114</c:v>
                </c:pt>
                <c:pt idx="17">
                  <c:v>4.1000000000000227</c:v>
                </c:pt>
                <c:pt idx="18">
                  <c:v>1</c:v>
                </c:pt>
                <c:pt idx="19">
                  <c:v>4.7999999999999545</c:v>
                </c:pt>
              </c:numCache>
            </c:numRef>
          </c:yVal>
          <c:smooth val="0"/>
          <c:extLst>
            <c:ext xmlns:c16="http://schemas.microsoft.com/office/drawing/2014/chart" uri="{C3380CC4-5D6E-409C-BE32-E72D297353CC}">
              <c16:uniqueId val="{00000000-D807-49B2-AF07-B6282FB034D8}"/>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linear"/>
            <c:dispRSqr val="0"/>
            <c:dispEq val="0"/>
          </c:trendline>
          <c:xVal>
            <c:numRef>
              <c:f>Sheet1!$E$85:$E$104</c:f>
              <c:numCache>
                <c:formatCode>General</c:formatCode>
                <c:ptCount val="20"/>
                <c:pt idx="0">
                  <c:v>394.9</c:v>
                </c:pt>
                <c:pt idx="1">
                  <c:v>404.85</c:v>
                </c:pt>
                <c:pt idx="2">
                  <c:v>396</c:v>
                </c:pt>
                <c:pt idx="3">
                  <c:v>401.9</c:v>
                </c:pt>
                <c:pt idx="4">
                  <c:v>405.29999999999995</c:v>
                </c:pt>
                <c:pt idx="5">
                  <c:v>400.1</c:v>
                </c:pt>
                <c:pt idx="6">
                  <c:v>392.9</c:v>
                </c:pt>
                <c:pt idx="7">
                  <c:v>393.25</c:v>
                </c:pt>
                <c:pt idx="8">
                  <c:v>404.15</c:v>
                </c:pt>
                <c:pt idx="9">
                  <c:v>399.5</c:v>
                </c:pt>
                <c:pt idx="10">
                  <c:v>399.15</c:v>
                </c:pt>
                <c:pt idx="11">
                  <c:v>394.04999999999995</c:v>
                </c:pt>
                <c:pt idx="12">
                  <c:v>400.7</c:v>
                </c:pt>
                <c:pt idx="13">
                  <c:v>398</c:v>
                </c:pt>
                <c:pt idx="14">
                  <c:v>407.45</c:v>
                </c:pt>
                <c:pt idx="15">
                  <c:v>394.4</c:v>
                </c:pt>
                <c:pt idx="16">
                  <c:v>398.4</c:v>
                </c:pt>
                <c:pt idx="17">
                  <c:v>397.3</c:v>
                </c:pt>
                <c:pt idx="18">
                  <c:v>393.9</c:v>
                </c:pt>
                <c:pt idx="19">
                  <c:v>406.70000000000005</c:v>
                </c:pt>
              </c:numCache>
            </c:numRef>
          </c:xVal>
          <c:yVal>
            <c:numRef>
              <c:f>Sheet1!$N$85:$N$104</c:f>
              <c:numCache>
                <c:formatCode>0.0</c:formatCode>
                <c:ptCount val="20"/>
                <c:pt idx="0">
                  <c:v>8.1000000000000227</c:v>
                </c:pt>
                <c:pt idx="1">
                  <c:v>24.25</c:v>
                </c:pt>
                <c:pt idx="2">
                  <c:v>20</c:v>
                </c:pt>
                <c:pt idx="3">
                  <c:v>-4.5999999999999659</c:v>
                </c:pt>
                <c:pt idx="4">
                  <c:v>8.0000000000000568</c:v>
                </c:pt>
                <c:pt idx="5">
                  <c:v>20.699999999999989</c:v>
                </c:pt>
                <c:pt idx="6">
                  <c:v>6.1000000000000227</c:v>
                </c:pt>
                <c:pt idx="7">
                  <c:v>8.1499999999999773</c:v>
                </c:pt>
                <c:pt idx="8">
                  <c:v>24.350000000000023</c:v>
                </c:pt>
                <c:pt idx="9">
                  <c:v>-1.1000000000000227</c:v>
                </c:pt>
                <c:pt idx="10">
                  <c:v>5.5500000000000114</c:v>
                </c:pt>
                <c:pt idx="11">
                  <c:v>9.6500000000000341</c:v>
                </c:pt>
                <c:pt idx="12">
                  <c:v>-0.80000000000001137</c:v>
                </c:pt>
                <c:pt idx="13">
                  <c:v>22.699999999999989</c:v>
                </c:pt>
                <c:pt idx="14">
                  <c:v>15.050000000000011</c:v>
                </c:pt>
                <c:pt idx="15">
                  <c:v>11</c:v>
                </c:pt>
                <c:pt idx="16">
                  <c:v>15.700000000000045</c:v>
                </c:pt>
                <c:pt idx="17">
                  <c:v>9.8000000000000114</c:v>
                </c:pt>
                <c:pt idx="18">
                  <c:v>7.1000000000000227</c:v>
                </c:pt>
                <c:pt idx="19">
                  <c:v>3.5999999999999659</c:v>
                </c:pt>
              </c:numCache>
            </c:numRef>
          </c:yVal>
          <c:smooth val="0"/>
          <c:extLst>
            <c:ext xmlns:c16="http://schemas.microsoft.com/office/drawing/2014/chart" uri="{C3380CC4-5D6E-409C-BE32-E72D297353CC}">
              <c16:uniqueId val="{00000001-D807-49B2-AF07-B6282FB034D8}"/>
            </c:ext>
          </c:extLst>
        </c:ser>
        <c:ser>
          <c:idx val="2"/>
          <c:order val="2"/>
          <c:tx>
            <c:strRef>
              <c:f>Sheet1!$N$119</c:f>
              <c:strCache>
                <c:ptCount val="1"/>
                <c:pt idx="0">
                  <c:v>Value of X2</c:v>
                </c:pt>
              </c:strCache>
            </c:strRef>
          </c:tx>
          <c:spPr>
            <a:ln w="12700">
              <a:solidFill>
                <a:srgbClr val="000000"/>
              </a:solidFill>
              <a:prstDash val="sysDash"/>
            </a:ln>
          </c:spPr>
          <c:marker>
            <c:symbol val="none"/>
          </c:marker>
          <c:xVal>
            <c:numRef>
              <c:f>Sheet1!$N$122:$N$123</c:f>
              <c:numCache>
                <c:formatCode>0.00</c:formatCode>
                <c:ptCount val="2"/>
                <c:pt idx="0">
                  <c:v>400.26499999999999</c:v>
                </c:pt>
                <c:pt idx="1">
                  <c:v>400.26499999999999</c:v>
                </c:pt>
              </c:numCache>
            </c:numRef>
          </c:xVal>
          <c:yVal>
            <c:numRef>
              <c:f>Sheet1!$N$120:$N$121</c:f>
              <c:numCache>
                <c:formatCode>0.00</c:formatCode>
                <c:ptCount val="2"/>
                <c:pt idx="0">
                  <c:v>6.4400000000000066</c:v>
                </c:pt>
                <c:pt idx="1">
                  <c:v>6.4400000000000066</c:v>
                </c:pt>
              </c:numCache>
            </c:numRef>
          </c:yVal>
          <c:smooth val="0"/>
          <c:extLst>
            <c:ext xmlns:c16="http://schemas.microsoft.com/office/drawing/2014/chart" uri="{C3380CC4-5D6E-409C-BE32-E72D297353CC}">
              <c16:uniqueId val="{00000002-D807-49B2-AF07-B6282FB034D8}"/>
            </c:ext>
          </c:extLst>
        </c:ser>
        <c:dLbls>
          <c:showLegendKey val="0"/>
          <c:showVal val="0"/>
          <c:showCatName val="0"/>
          <c:showSerName val="0"/>
          <c:showPercent val="0"/>
          <c:showBubbleSize val="0"/>
        </c:dLbls>
        <c:axId val="242223360"/>
        <c:axId val="242399488"/>
      </c:scatterChart>
      <c:valAx>
        <c:axId val="242223360"/>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sz="900" b="0" i="0" u="none" strike="noStrike" baseline="0">
                    <a:effectLst/>
                  </a:rPr>
                  <a:t>Predictor</a:t>
                </a:r>
                <a:endParaRPr lang="en-US"/>
              </a:p>
            </c:rich>
          </c:tx>
          <c:layout>
            <c:manualLayout>
              <c:xMode val="edge"/>
              <c:yMode val="edge"/>
              <c:x val="0.44129012719563898"/>
              <c:y val="0.885585191490703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42399488"/>
        <c:crosses val="autoZero"/>
        <c:crossBetween val="midCat"/>
      </c:valAx>
      <c:valAx>
        <c:axId val="242399488"/>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42223360"/>
        <c:crosses val="autoZero"/>
        <c:crossBetween val="midCat"/>
      </c:valAx>
      <c:spPr>
        <a:solidFill>
          <a:srgbClr val="FFFFFF"/>
        </a:solidFill>
        <a:ln w="12700">
          <a:solidFill>
            <a:srgbClr val="808080"/>
          </a:solidFill>
          <a:prstDash val="solid"/>
        </a:ln>
      </c:spPr>
    </c:plotArea>
    <c:legend>
      <c:legendPos val="r"/>
      <c:layout>
        <c:manualLayout>
          <c:xMode val="edge"/>
          <c:yMode val="edge"/>
          <c:x val="0.44680718756309307"/>
          <c:y val="2.3812789167119874E-2"/>
          <c:w val="0.49914435695538056"/>
          <c:h val="0.21771692952795313"/>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sz="900" b="0" i="0" kern="1200" baseline="0">
                <a:solidFill>
                  <a:srgbClr val="000000"/>
                </a:solidFill>
                <a:effectLst/>
                <a:latin typeface="Arial Narrow"/>
                <a:ea typeface="Arial Narrow"/>
                <a:cs typeface="Arial Narrow"/>
              </a:rPr>
              <a:t>Custom effect</a:t>
            </a:r>
            <a:endParaRPr lang="en-US">
              <a:effectLst/>
            </a:endParaRPr>
          </a:p>
        </c:rich>
      </c:tx>
      <c:layout>
        <c:manualLayout>
          <c:xMode val="edge"/>
          <c:yMode val="edge"/>
          <c:x val="1.9762971936200281E-2"/>
          <c:y val="8.3333723909511312E-2"/>
        </c:manualLayout>
      </c:layout>
      <c:overlay val="0"/>
      <c:spPr>
        <a:noFill/>
        <a:ln w="25400">
          <a:noFill/>
        </a:ln>
      </c:spPr>
    </c:title>
    <c:autoTitleDeleted val="0"/>
    <c:plotArea>
      <c:layout>
        <c:manualLayout>
          <c:layoutTarget val="inner"/>
          <c:xMode val="edge"/>
          <c:yMode val="edge"/>
          <c:x val="0.15027982226601655"/>
          <c:y val="0.22173096155206287"/>
          <c:w val="0.80353700885094559"/>
          <c:h val="0.65653818683402665"/>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linear"/>
            <c:dispRSqr val="0"/>
            <c:dispEq val="0"/>
          </c:trendline>
          <c:xVal>
            <c:numRef>
              <c:f>Sheet1!$D$52:$D$71</c:f>
              <c:numCache>
                <c:formatCode>General</c:formatCode>
                <c:ptCount val="20"/>
                <c:pt idx="0">
                  <c:v>8.1</c:v>
                </c:pt>
                <c:pt idx="1">
                  <c:v>6.1</c:v>
                </c:pt>
                <c:pt idx="2">
                  <c:v>10.9</c:v>
                </c:pt>
                <c:pt idx="3">
                  <c:v>14</c:v>
                </c:pt>
                <c:pt idx="4">
                  <c:v>12.1</c:v>
                </c:pt>
                <c:pt idx="5">
                  <c:v>8.6999999999999993</c:v>
                </c:pt>
                <c:pt idx="6">
                  <c:v>7.6</c:v>
                </c:pt>
                <c:pt idx="7">
                  <c:v>12.4</c:v>
                </c:pt>
                <c:pt idx="8">
                  <c:v>7.3</c:v>
                </c:pt>
                <c:pt idx="9">
                  <c:v>12.3</c:v>
                </c:pt>
                <c:pt idx="10">
                  <c:v>9.1999999999999993</c:v>
                </c:pt>
                <c:pt idx="11">
                  <c:v>6.2</c:v>
                </c:pt>
                <c:pt idx="12">
                  <c:v>9.4</c:v>
                </c:pt>
                <c:pt idx="13">
                  <c:v>7.6</c:v>
                </c:pt>
                <c:pt idx="14">
                  <c:v>14.7</c:v>
                </c:pt>
                <c:pt idx="15">
                  <c:v>11.1</c:v>
                </c:pt>
                <c:pt idx="16">
                  <c:v>11.4</c:v>
                </c:pt>
                <c:pt idx="17">
                  <c:v>9.1999999999999993</c:v>
                </c:pt>
                <c:pt idx="18">
                  <c:v>10</c:v>
                </c:pt>
                <c:pt idx="19">
                  <c:v>7.1</c:v>
                </c:pt>
              </c:numCache>
            </c:numRef>
          </c:xVal>
          <c:yVal>
            <c:numRef>
              <c:f>Sheet1!$O$52:$O$71</c:f>
              <c:numCache>
                <c:formatCode>0.0</c:formatCode>
                <c:ptCount val="20"/>
                <c:pt idx="0">
                  <c:v>-3.65120357144969</c:v>
                </c:pt>
                <c:pt idx="1">
                  <c:v>6.6989041395507254</c:v>
                </c:pt>
                <c:pt idx="2">
                  <c:v>3.8349133426683522</c:v>
                </c:pt>
                <c:pt idx="3">
                  <c:v>9.9160413535740339</c:v>
                </c:pt>
                <c:pt idx="4">
                  <c:v>10.85074825405999</c:v>
                </c:pt>
                <c:pt idx="5">
                  <c:v>4.1587742349751284</c:v>
                </c:pt>
                <c:pt idx="6">
                  <c:v>2.5110524503615759</c:v>
                </c:pt>
                <c:pt idx="7">
                  <c:v>-8.6737637895626047</c:v>
                </c:pt>
                <c:pt idx="8">
                  <c:v>-4.0446969436048557</c:v>
                </c:pt>
                <c:pt idx="9">
                  <c:v>0.95074825405995544</c:v>
                </c:pt>
                <c:pt idx="10">
                  <c:v>-3.5629177813833679</c:v>
                </c:pt>
                <c:pt idx="11">
                  <c:v>-1.4164966709637228</c:v>
                </c:pt>
                <c:pt idx="12">
                  <c:v>8.1134383767484337</c:v>
                </c:pt>
                <c:pt idx="13">
                  <c:v>0.52840508638565842</c:v>
                </c:pt>
                <c:pt idx="14">
                  <c:v>3.1661490645743866</c:v>
                </c:pt>
                <c:pt idx="15">
                  <c:v>3.0379504203710446</c:v>
                </c:pt>
                <c:pt idx="16">
                  <c:v>9.6477111763572569</c:v>
                </c:pt>
                <c:pt idx="17">
                  <c:v>1.406063547149226</c:v>
                </c:pt>
                <c:pt idx="18">
                  <c:v>0.35660535902681978</c:v>
                </c:pt>
                <c:pt idx="19">
                  <c:v>7.1284050863856248</c:v>
                </c:pt>
              </c:numCache>
            </c:numRef>
          </c:yVal>
          <c:smooth val="0"/>
          <c:extLst>
            <c:ext xmlns:c16="http://schemas.microsoft.com/office/drawing/2014/chart" uri="{C3380CC4-5D6E-409C-BE32-E72D297353CC}">
              <c16:uniqueId val="{00000000-6AD0-476F-B21F-637FCD6619FA}"/>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linear"/>
            <c:dispRSqr val="0"/>
            <c:dispEq val="0"/>
          </c:trendline>
          <c:xVal>
            <c:numRef>
              <c:f>Sheet1!$D$85:$D$104</c:f>
              <c:numCache>
                <c:formatCode>General</c:formatCode>
                <c:ptCount val="20"/>
                <c:pt idx="0">
                  <c:v>7.4</c:v>
                </c:pt>
                <c:pt idx="1">
                  <c:v>4.5</c:v>
                </c:pt>
                <c:pt idx="2">
                  <c:v>10.4</c:v>
                </c:pt>
                <c:pt idx="3">
                  <c:v>13.5</c:v>
                </c:pt>
                <c:pt idx="4">
                  <c:v>11.1</c:v>
                </c:pt>
                <c:pt idx="5">
                  <c:v>7.8</c:v>
                </c:pt>
                <c:pt idx="6">
                  <c:v>8.1</c:v>
                </c:pt>
                <c:pt idx="7">
                  <c:v>9.4</c:v>
                </c:pt>
                <c:pt idx="8">
                  <c:v>7.8</c:v>
                </c:pt>
                <c:pt idx="9">
                  <c:v>12.7</c:v>
                </c:pt>
                <c:pt idx="10">
                  <c:v>9.1999999999999993</c:v>
                </c:pt>
                <c:pt idx="11">
                  <c:v>7.8</c:v>
                </c:pt>
                <c:pt idx="12">
                  <c:v>9.8000000000000007</c:v>
                </c:pt>
                <c:pt idx="13">
                  <c:v>9.6</c:v>
                </c:pt>
                <c:pt idx="14">
                  <c:v>14</c:v>
                </c:pt>
                <c:pt idx="15">
                  <c:v>10.5</c:v>
                </c:pt>
                <c:pt idx="16">
                  <c:v>9.5</c:v>
                </c:pt>
                <c:pt idx="17">
                  <c:v>9.3000000000000007</c:v>
                </c:pt>
                <c:pt idx="18">
                  <c:v>10.199999999999999</c:v>
                </c:pt>
                <c:pt idx="19">
                  <c:v>9.1999999999999993</c:v>
                </c:pt>
              </c:numCache>
            </c:numRef>
          </c:xVal>
          <c:yVal>
            <c:numRef>
              <c:f>Sheet1!$O$85:$O$104</c:f>
              <c:numCache>
                <c:formatCode>0.0</c:formatCode>
                <c:ptCount val="20"/>
                <c:pt idx="0">
                  <c:v>10.153775798890731</c:v>
                </c:pt>
                <c:pt idx="1">
                  <c:v>22.494816022756019</c:v>
                </c:pt>
                <c:pt idx="2">
                  <c:v>21.632684768363248</c:v>
                </c:pt>
                <c:pt idx="3">
                  <c:v>-5.2258943953748558</c:v>
                </c:pt>
                <c:pt idx="4">
                  <c:v>6.0725515102675995</c:v>
                </c:pt>
                <c:pt idx="5">
                  <c:v>20.763163654579092</c:v>
                </c:pt>
                <c:pt idx="6">
                  <c:v>8.9193958543951872</c:v>
                </c:pt>
                <c:pt idx="7">
                  <c:v>10.835412344681853</c:v>
                </c:pt>
                <c:pt idx="8">
                  <c:v>22.86278304218262</c:v>
                </c:pt>
                <c:pt idx="9">
                  <c:v>-0.80715032876957338</c:v>
                </c:pt>
                <c:pt idx="10">
                  <c:v>5.9768331809437498</c:v>
                </c:pt>
                <c:pt idx="11">
                  <c:v>12.029164322480145</c:v>
                </c:pt>
                <c:pt idx="12">
                  <c:v>-0.96652236207223152</c:v>
                </c:pt>
                <c:pt idx="13">
                  <c:v>23.56706471285878</c:v>
                </c:pt>
                <c:pt idx="14">
                  <c:v>12.29950995060025</c:v>
                </c:pt>
                <c:pt idx="15">
                  <c:v>13.245180812766822</c:v>
                </c:pt>
                <c:pt idx="16">
                  <c:v>16.413940701757955</c:v>
                </c:pt>
                <c:pt idx="17">
                  <c:v>10.935031732285358</c:v>
                </c:pt>
                <c:pt idx="18">
                  <c:v>9.5365858266429591</c:v>
                </c:pt>
                <c:pt idx="19">
                  <c:v>1.1366174714143544</c:v>
                </c:pt>
              </c:numCache>
            </c:numRef>
          </c:yVal>
          <c:smooth val="0"/>
          <c:extLst>
            <c:ext xmlns:c16="http://schemas.microsoft.com/office/drawing/2014/chart" uri="{C3380CC4-5D6E-409C-BE32-E72D297353CC}">
              <c16:uniqueId val="{00000001-6AD0-476F-B21F-637FCD6619FA}"/>
            </c:ext>
          </c:extLst>
        </c:ser>
        <c:ser>
          <c:idx val="2"/>
          <c:order val="2"/>
          <c:tx>
            <c:strRef>
              <c:f>Sheet1!$O$119</c:f>
              <c:strCache>
                <c:ptCount val="1"/>
                <c:pt idx="0">
                  <c:v>Value of X1</c:v>
                </c:pt>
              </c:strCache>
            </c:strRef>
          </c:tx>
          <c:spPr>
            <a:ln w="12700">
              <a:solidFill>
                <a:srgbClr val="000000"/>
              </a:solidFill>
              <a:prstDash val="sysDash"/>
            </a:ln>
          </c:spPr>
          <c:marker>
            <c:symbol val="none"/>
          </c:marker>
          <c:xVal>
            <c:numRef>
              <c:f>Sheet1!$O$122:$O$123</c:f>
              <c:numCache>
                <c:formatCode>0.00</c:formatCode>
                <c:ptCount val="2"/>
                <c:pt idx="0">
                  <c:v>9.68</c:v>
                </c:pt>
                <c:pt idx="1">
                  <c:v>9.68</c:v>
                </c:pt>
              </c:numCache>
            </c:numRef>
          </c:xVal>
          <c:yVal>
            <c:numRef>
              <c:f>Sheet1!$O$120:$O$121</c:f>
              <c:numCache>
                <c:formatCode>0.00</c:formatCode>
                <c:ptCount val="2"/>
                <c:pt idx="0">
                  <c:v>23.56706471285878</c:v>
                </c:pt>
                <c:pt idx="1">
                  <c:v>-8.6737637895626047</c:v>
                </c:pt>
              </c:numCache>
            </c:numRef>
          </c:yVal>
          <c:smooth val="0"/>
          <c:extLst>
            <c:ext xmlns:c16="http://schemas.microsoft.com/office/drawing/2014/chart" uri="{C3380CC4-5D6E-409C-BE32-E72D297353CC}">
              <c16:uniqueId val="{00000002-6AD0-476F-B21F-637FCD6619FA}"/>
            </c:ext>
          </c:extLst>
        </c:ser>
        <c:dLbls>
          <c:showLegendKey val="0"/>
          <c:showVal val="0"/>
          <c:showCatName val="0"/>
          <c:showSerName val="0"/>
          <c:showPercent val="0"/>
          <c:showBubbleSize val="0"/>
        </c:dLbls>
        <c:axId val="246087040"/>
        <c:axId val="248507392"/>
      </c:scatterChart>
      <c:valAx>
        <c:axId val="246087040"/>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sz="900" b="0" i="0" u="none" strike="noStrike" baseline="0">
                    <a:effectLst/>
                  </a:rPr>
                  <a:t>Predictor</a:t>
                </a:r>
                <a:endParaRPr lang="en-US"/>
              </a:p>
            </c:rich>
          </c:tx>
          <c:layout>
            <c:manualLayout>
              <c:xMode val="edge"/>
              <c:yMode val="edge"/>
              <c:x val="0.46810660205935795"/>
              <c:y val="0.886366938507686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48507392"/>
        <c:crosses val="autoZero"/>
        <c:crossBetween val="midCat"/>
      </c:valAx>
      <c:valAx>
        <c:axId val="248507392"/>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46087040"/>
        <c:crosses val="autoZero"/>
        <c:crossBetween val="midCat"/>
      </c:valAx>
      <c:spPr>
        <a:solidFill>
          <a:srgbClr val="FFFFFF"/>
        </a:solidFill>
        <a:ln w="12700">
          <a:solidFill>
            <a:srgbClr val="808080"/>
          </a:solidFill>
          <a:prstDash val="solid"/>
        </a:ln>
      </c:spPr>
    </c:plotArea>
    <c:legend>
      <c:legendPos val="r"/>
      <c:layout>
        <c:manualLayout>
          <c:xMode val="edge"/>
          <c:yMode val="edge"/>
          <c:x val="0.43454593175853024"/>
          <c:y val="1.52879327584052E-2"/>
          <c:w val="0.50935877246113459"/>
          <c:h val="0.19600167166604174"/>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sz="900" b="0" i="0" kern="1200" baseline="0">
                <a:solidFill>
                  <a:srgbClr val="000000"/>
                </a:solidFill>
                <a:effectLst/>
                <a:latin typeface="Arial Narrow"/>
                <a:ea typeface="Arial Narrow"/>
                <a:cs typeface="Arial Narrow"/>
              </a:rPr>
              <a:t>Custom effect</a:t>
            </a:r>
            <a:endParaRPr lang="en-US">
              <a:effectLst/>
            </a:endParaRPr>
          </a:p>
        </c:rich>
      </c:tx>
      <c:layout>
        <c:manualLayout>
          <c:xMode val="edge"/>
          <c:yMode val="edge"/>
          <c:x val="1.9762971936200281E-2"/>
          <c:y val="8.6956880389951252E-2"/>
        </c:manualLayout>
      </c:layout>
      <c:overlay val="0"/>
      <c:spPr>
        <a:noFill/>
        <a:ln w="25400">
          <a:noFill/>
        </a:ln>
      </c:spPr>
    </c:title>
    <c:autoTitleDeleted val="0"/>
    <c:plotArea>
      <c:layout>
        <c:manualLayout>
          <c:layoutTarget val="inner"/>
          <c:xMode val="edge"/>
          <c:yMode val="edge"/>
          <c:x val="0.15027982226601655"/>
          <c:y val="0.25659569871646842"/>
          <c:w val="0.80353700885094559"/>
          <c:h val="0.60247692548365228"/>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linear"/>
            <c:dispRSqr val="0"/>
            <c:dispEq val="0"/>
          </c:trendline>
          <c:xVal>
            <c:numRef>
              <c:f>Sheet1!$E$52:$E$71</c:f>
              <c:numCache>
                <c:formatCode>General</c:formatCode>
                <c:ptCount val="20"/>
                <c:pt idx="0">
                  <c:v>395.55</c:v>
                </c:pt>
                <c:pt idx="1">
                  <c:v>406.15</c:v>
                </c:pt>
                <c:pt idx="2">
                  <c:v>398.7</c:v>
                </c:pt>
                <c:pt idx="3">
                  <c:v>398.29999999999995</c:v>
                </c:pt>
                <c:pt idx="4">
                  <c:v>401.95</c:v>
                </c:pt>
                <c:pt idx="5">
                  <c:v>402.65</c:v>
                </c:pt>
                <c:pt idx="6">
                  <c:v>394.75</c:v>
                </c:pt>
                <c:pt idx="7">
                  <c:v>403.54999999999995</c:v>
                </c:pt>
                <c:pt idx="8">
                  <c:v>409.2</c:v>
                </c:pt>
                <c:pt idx="9">
                  <c:v>401.95</c:v>
                </c:pt>
                <c:pt idx="10">
                  <c:v>403.25</c:v>
                </c:pt>
                <c:pt idx="11">
                  <c:v>399.20000000000005</c:v>
                </c:pt>
                <c:pt idx="12">
                  <c:v>397.45000000000005</c:v>
                </c:pt>
                <c:pt idx="13">
                  <c:v>408.1</c:v>
                </c:pt>
                <c:pt idx="14">
                  <c:v>408.9</c:v>
                </c:pt>
                <c:pt idx="15">
                  <c:v>395.85</c:v>
                </c:pt>
                <c:pt idx="16">
                  <c:v>404.8</c:v>
                </c:pt>
                <c:pt idx="17">
                  <c:v>391.2</c:v>
                </c:pt>
                <c:pt idx="18">
                  <c:v>398.1</c:v>
                </c:pt>
                <c:pt idx="19">
                  <c:v>408.1</c:v>
                </c:pt>
              </c:numCache>
            </c:numRef>
          </c:xVal>
          <c:yVal>
            <c:numRef>
              <c:f>Sheet1!$P$52:$P$71</c:f>
              <c:numCache>
                <c:formatCode>0.0</c:formatCode>
                <c:ptCount val="20"/>
                <c:pt idx="0">
                  <c:v>-1.575867844500888</c:v>
                </c:pt>
                <c:pt idx="1">
                  <c:v>6.4774639979030963</c:v>
                </c:pt>
                <c:pt idx="2">
                  <c:v>3.7794675761336083</c:v>
                </c:pt>
                <c:pt idx="3">
                  <c:v>8.6568032204075482</c:v>
                </c:pt>
                <c:pt idx="4">
                  <c:v>9.3174684706912565</c:v>
                </c:pt>
                <c:pt idx="5">
                  <c:v>3.8681326027779757</c:v>
                </c:pt>
                <c:pt idx="6">
                  <c:v>5.0374651161000736</c:v>
                </c:pt>
                <c:pt idx="7">
                  <c:v>-10.810531305669334</c:v>
                </c:pt>
                <c:pt idx="8">
                  <c:v>-5.6845351075393014</c:v>
                </c:pt>
                <c:pt idx="9">
                  <c:v>-0.66786471354917198</c:v>
                </c:pt>
                <c:pt idx="10">
                  <c:v>-4.2452003578230428</c:v>
                </c:pt>
                <c:pt idx="11">
                  <c:v>0.38479740578283095</c:v>
                </c:pt>
                <c:pt idx="12">
                  <c:v>9.0694664579364836</c:v>
                </c:pt>
                <c:pt idx="13">
                  <c:v>-0.91253488389991477</c:v>
                </c:pt>
                <c:pt idx="14">
                  <c:v>-1.5418629244338642</c:v>
                </c:pt>
                <c:pt idx="15">
                  <c:v>3.7441343918931693</c:v>
                </c:pt>
                <c:pt idx="16">
                  <c:v>7.5661346155326239</c:v>
                </c:pt>
                <c:pt idx="17">
                  <c:v>4.3047996421769685</c:v>
                </c:pt>
                <c:pt idx="18">
                  <c:v>0.86346690521536962</c:v>
                </c:pt>
                <c:pt idx="19">
                  <c:v>5.9007980767010357</c:v>
                </c:pt>
              </c:numCache>
            </c:numRef>
          </c:yVal>
          <c:smooth val="0"/>
          <c:extLst>
            <c:ext xmlns:c16="http://schemas.microsoft.com/office/drawing/2014/chart" uri="{C3380CC4-5D6E-409C-BE32-E72D297353CC}">
              <c16:uniqueId val="{00000000-671C-4D45-82A1-0A1C51F627BE}"/>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linear"/>
            <c:dispRSqr val="0"/>
            <c:dispEq val="0"/>
          </c:trendline>
          <c:xVal>
            <c:numRef>
              <c:f>Sheet1!$E$85:$E$104</c:f>
              <c:numCache>
                <c:formatCode>General</c:formatCode>
                <c:ptCount val="20"/>
                <c:pt idx="0">
                  <c:v>394.9</c:v>
                </c:pt>
                <c:pt idx="1">
                  <c:v>404.85</c:v>
                </c:pt>
                <c:pt idx="2">
                  <c:v>396</c:v>
                </c:pt>
                <c:pt idx="3">
                  <c:v>401.9</c:v>
                </c:pt>
                <c:pt idx="4">
                  <c:v>405.29999999999995</c:v>
                </c:pt>
                <c:pt idx="5">
                  <c:v>400.1</c:v>
                </c:pt>
                <c:pt idx="6">
                  <c:v>392.9</c:v>
                </c:pt>
                <c:pt idx="7">
                  <c:v>393.25</c:v>
                </c:pt>
                <c:pt idx="8">
                  <c:v>404.15</c:v>
                </c:pt>
                <c:pt idx="9">
                  <c:v>399.5</c:v>
                </c:pt>
                <c:pt idx="10">
                  <c:v>399.15</c:v>
                </c:pt>
                <c:pt idx="11">
                  <c:v>394.04999999999995</c:v>
                </c:pt>
                <c:pt idx="12">
                  <c:v>400.7</c:v>
                </c:pt>
                <c:pt idx="13">
                  <c:v>398</c:v>
                </c:pt>
                <c:pt idx="14">
                  <c:v>407.45</c:v>
                </c:pt>
                <c:pt idx="15">
                  <c:v>394.4</c:v>
                </c:pt>
                <c:pt idx="16">
                  <c:v>398.4</c:v>
                </c:pt>
                <c:pt idx="17">
                  <c:v>397.3</c:v>
                </c:pt>
                <c:pt idx="18">
                  <c:v>393.9</c:v>
                </c:pt>
                <c:pt idx="19">
                  <c:v>406.70000000000005</c:v>
                </c:pt>
              </c:numCache>
            </c:numRef>
          </c:xVal>
          <c:yVal>
            <c:numRef>
              <c:f>Sheet1!$P$85:$P$104</c:f>
              <c:numCache>
                <c:formatCode>0.0</c:formatCode>
                <c:ptCount val="20"/>
                <c:pt idx="0">
                  <c:v>3.5369916962436738</c:v>
                </c:pt>
                <c:pt idx="1">
                  <c:v>13.883165344974609</c:v>
                </c:pt>
                <c:pt idx="2">
                  <c:v>21.440949990659902</c:v>
                </c:pt>
                <c:pt idx="3">
                  <c:v>3.0450402282233933</c:v>
                </c:pt>
                <c:pt idx="4">
                  <c:v>10.841873592690416</c:v>
                </c:pt>
                <c:pt idx="5">
                  <c:v>16.937519468832473</c:v>
                </c:pt>
                <c:pt idx="6">
                  <c:v>2.9379152982741306</c:v>
                </c:pt>
                <c:pt idx="7">
                  <c:v>7.5896305591877953</c:v>
                </c:pt>
                <c:pt idx="8">
                  <c:v>20.587519468832507</c:v>
                </c:pt>
                <c:pt idx="9">
                  <c:v>4.9439846830456684</c:v>
                </c:pt>
                <c:pt idx="10">
                  <c:v>4.5893666728934104</c:v>
                </c:pt>
                <c:pt idx="11">
                  <c:v>5.887519468832517</c:v>
                </c:pt>
                <c:pt idx="12">
                  <c:v>-0.55984166822335935</c:v>
                </c:pt>
                <c:pt idx="13">
                  <c:v>22.539894445482222</c:v>
                </c:pt>
                <c:pt idx="14">
                  <c:v>23.695699943959411</c:v>
                </c:pt>
                <c:pt idx="15">
                  <c:v>12.64108193380711</c:v>
                </c:pt>
                <c:pt idx="16">
                  <c:v>15.339762502335072</c:v>
                </c:pt>
                <c:pt idx="17">
                  <c:v>9.0394986160406212</c:v>
                </c:pt>
                <c:pt idx="18">
                  <c:v>8.1406861043655052</c:v>
                </c:pt>
                <c:pt idx="19">
                  <c:v>2.6393666728933649</c:v>
                </c:pt>
              </c:numCache>
            </c:numRef>
          </c:yVal>
          <c:smooth val="0"/>
          <c:extLst>
            <c:ext xmlns:c16="http://schemas.microsoft.com/office/drawing/2014/chart" uri="{C3380CC4-5D6E-409C-BE32-E72D297353CC}">
              <c16:uniqueId val="{00000001-671C-4D45-82A1-0A1C51F627BE}"/>
            </c:ext>
          </c:extLst>
        </c:ser>
        <c:ser>
          <c:idx val="2"/>
          <c:order val="2"/>
          <c:tx>
            <c:strRef>
              <c:f>Sheet1!$P$119</c:f>
              <c:strCache>
                <c:ptCount val="1"/>
                <c:pt idx="0">
                  <c:v>Value of X2</c:v>
                </c:pt>
              </c:strCache>
            </c:strRef>
          </c:tx>
          <c:spPr>
            <a:ln w="12700">
              <a:solidFill>
                <a:srgbClr val="000000"/>
              </a:solidFill>
              <a:prstDash val="sysDash"/>
            </a:ln>
          </c:spPr>
          <c:marker>
            <c:symbol val="none"/>
          </c:marker>
          <c:xVal>
            <c:numRef>
              <c:f>Sheet1!$P$122:$P$123</c:f>
              <c:numCache>
                <c:formatCode>0.00</c:formatCode>
                <c:ptCount val="2"/>
                <c:pt idx="0">
                  <c:v>400.26499999999999</c:v>
                </c:pt>
                <c:pt idx="1">
                  <c:v>400.26499999999999</c:v>
                </c:pt>
              </c:numCache>
            </c:numRef>
          </c:xVal>
          <c:yVal>
            <c:numRef>
              <c:f>Sheet1!$P$120:$P$121</c:f>
              <c:numCache>
                <c:formatCode>0.00</c:formatCode>
                <c:ptCount val="2"/>
                <c:pt idx="0">
                  <c:v>23.695699943959411</c:v>
                </c:pt>
                <c:pt idx="1">
                  <c:v>-10.810531305669334</c:v>
                </c:pt>
              </c:numCache>
            </c:numRef>
          </c:yVal>
          <c:smooth val="0"/>
          <c:extLst>
            <c:ext xmlns:c16="http://schemas.microsoft.com/office/drawing/2014/chart" uri="{C3380CC4-5D6E-409C-BE32-E72D297353CC}">
              <c16:uniqueId val="{00000002-671C-4D45-82A1-0A1C51F627BE}"/>
            </c:ext>
          </c:extLst>
        </c:ser>
        <c:dLbls>
          <c:showLegendKey val="0"/>
          <c:showVal val="0"/>
          <c:showCatName val="0"/>
          <c:showSerName val="0"/>
          <c:showPercent val="0"/>
          <c:showBubbleSize val="0"/>
        </c:dLbls>
        <c:axId val="254464768"/>
        <c:axId val="263588480"/>
      </c:scatterChart>
      <c:valAx>
        <c:axId val="254464768"/>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sz="900" b="0" i="0" u="none" strike="noStrike" baseline="0">
                    <a:effectLst/>
                  </a:rPr>
                  <a:t>Predictor</a:t>
                </a:r>
                <a:endParaRPr lang="en-US"/>
              </a:p>
            </c:rich>
          </c:tx>
          <c:layout>
            <c:manualLayout>
              <c:xMode val="edge"/>
              <c:yMode val="edge"/>
              <c:x val="0.44011467797294573"/>
              <c:y val="0.87902587176602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63588480"/>
        <c:crosses val="autoZero"/>
        <c:crossBetween val="midCat"/>
      </c:valAx>
      <c:valAx>
        <c:axId val="263588480"/>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54464768"/>
        <c:crosses val="autoZero"/>
        <c:crossBetween val="midCat"/>
      </c:valAx>
      <c:spPr>
        <a:solidFill>
          <a:srgbClr val="FFFFFF"/>
        </a:solidFill>
        <a:ln w="12700">
          <a:solidFill>
            <a:srgbClr val="808080"/>
          </a:solidFill>
          <a:prstDash val="solid"/>
        </a:ln>
      </c:spPr>
    </c:plotArea>
    <c:legend>
      <c:legendPos val="r"/>
      <c:layout>
        <c:manualLayout>
          <c:xMode val="edge"/>
          <c:yMode val="edge"/>
          <c:x val="0.44163698768423176"/>
          <c:y val="2.4178852643419572E-2"/>
          <c:w val="0.51454996971532407"/>
          <c:h val="0.2021604799400074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a:t>Custom effect</a:t>
            </a:r>
          </a:p>
        </c:rich>
      </c:tx>
      <c:layout>
        <c:manualLayout>
          <c:xMode val="edge"/>
          <c:yMode val="edge"/>
          <c:x val="2.3715324046032708E-2"/>
          <c:y val="8.6580405519485509E-2"/>
        </c:manualLayout>
      </c:layout>
      <c:overlay val="0"/>
      <c:spPr>
        <a:noFill/>
        <a:ln w="25400">
          <a:noFill/>
        </a:ln>
      </c:spPr>
    </c:title>
    <c:autoTitleDeleted val="0"/>
    <c:plotArea>
      <c:layout>
        <c:manualLayout>
          <c:layoutTarget val="inner"/>
          <c:xMode val="edge"/>
          <c:yMode val="edge"/>
          <c:x val="0.15027982226601655"/>
          <c:y val="0.27358113393160044"/>
          <c:w val="0.80353700885094559"/>
          <c:h val="0.61604538181625146"/>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linear"/>
            <c:dispRSqr val="0"/>
            <c:dispEq val="0"/>
          </c:trendline>
          <c:xVal>
            <c:numRef>
              <c:f>Sheet1!$U$52:$U$71</c:f>
              <c:numCache>
                <c:formatCode>General</c:formatCode>
                <c:ptCount val="20"/>
                <c:pt idx="0">
                  <c:v>8.1</c:v>
                </c:pt>
                <c:pt idx="1">
                  <c:v>6.1</c:v>
                </c:pt>
                <c:pt idx="2">
                  <c:v>10.9</c:v>
                </c:pt>
                <c:pt idx="3">
                  <c:v>14</c:v>
                </c:pt>
                <c:pt idx="4">
                  <c:v>12.1</c:v>
                </c:pt>
                <c:pt idx="5">
                  <c:v>8.6999999999999993</c:v>
                </c:pt>
                <c:pt idx="6">
                  <c:v>7.6</c:v>
                </c:pt>
                <c:pt idx="7">
                  <c:v>12.4</c:v>
                </c:pt>
                <c:pt idx="8">
                  <c:v>7.3</c:v>
                </c:pt>
                <c:pt idx="9">
                  <c:v>12.3</c:v>
                </c:pt>
                <c:pt idx="10">
                  <c:v>9.1999999999999993</c:v>
                </c:pt>
                <c:pt idx="11">
                  <c:v>6.2</c:v>
                </c:pt>
                <c:pt idx="12">
                  <c:v>9.4</c:v>
                </c:pt>
                <c:pt idx="13">
                  <c:v>7.6</c:v>
                </c:pt>
                <c:pt idx="14">
                  <c:v>14.7</c:v>
                </c:pt>
                <c:pt idx="15">
                  <c:v>11.1</c:v>
                </c:pt>
                <c:pt idx="16">
                  <c:v>11.4</c:v>
                </c:pt>
                <c:pt idx="17">
                  <c:v>9.1999999999999993</c:v>
                </c:pt>
                <c:pt idx="18">
                  <c:v>10</c:v>
                </c:pt>
                <c:pt idx="19">
                  <c:v>7.1</c:v>
                </c:pt>
              </c:numCache>
            </c:numRef>
          </c:xVal>
          <c:yVal>
            <c:numRef>
              <c:f>Sheet1!$AD$52:$AD$71</c:f>
              <c:numCache>
                <c:formatCode>0.0</c:formatCode>
                <c:ptCount val="20"/>
                <c:pt idx="0">
                  <c:v>-0.56978030063112328</c:v>
                </c:pt>
                <c:pt idx="1">
                  <c:v>1.2145961191587276</c:v>
                </c:pt>
                <c:pt idx="2">
                  <c:v>1.0728093912979375</c:v>
                </c:pt>
                <c:pt idx="3">
                  <c:v>2.6041854869574763</c:v>
                </c:pt>
                <c:pt idx="4">
                  <c:v>2.5456226331936023</c:v>
                </c:pt>
                <c:pt idx="5">
                  <c:v>0.86337116524873636</c:v>
                </c:pt>
                <c:pt idx="6">
                  <c:v>1.0460424048652612</c:v>
                </c:pt>
                <c:pt idx="7">
                  <c:v>-2.4192817714707644</c:v>
                </c:pt>
                <c:pt idx="8">
                  <c:v>-1.6362598790425409</c:v>
                </c:pt>
                <c:pt idx="9">
                  <c:v>0.12398194019681341</c:v>
                </c:pt>
                <c:pt idx="10">
                  <c:v>-1.1021332193988655</c:v>
                </c:pt>
                <c:pt idx="11">
                  <c:v>-0.27479877920086437</c:v>
                </c:pt>
                <c:pt idx="12">
                  <c:v>2.2343215865220145</c:v>
                </c:pt>
                <c:pt idx="13">
                  <c:v>-0.43724022209187297</c:v>
                </c:pt>
                <c:pt idx="14">
                  <c:v>0.15295577378890357</c:v>
                </c:pt>
                <c:pt idx="15">
                  <c:v>1.0941203951267653</c:v>
                </c:pt>
                <c:pt idx="16">
                  <c:v>2.0482253740547094</c:v>
                </c:pt>
                <c:pt idx="17">
                  <c:v>1.0426326187756558</c:v>
                </c:pt>
                <c:pt idx="18">
                  <c:v>0.2522695352631672</c:v>
                </c:pt>
                <c:pt idx="19">
                  <c:v>1.1844553312920425</c:v>
                </c:pt>
              </c:numCache>
            </c:numRef>
          </c:yVal>
          <c:smooth val="0"/>
          <c:extLst>
            <c:ext xmlns:c16="http://schemas.microsoft.com/office/drawing/2014/chart" uri="{C3380CC4-5D6E-409C-BE32-E72D297353CC}">
              <c16:uniqueId val="{00000000-6206-40E7-A2A0-E060CC6B490D}"/>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linear"/>
            <c:dispRSqr val="0"/>
            <c:dispEq val="0"/>
          </c:trendline>
          <c:xVal>
            <c:numRef>
              <c:f>Sheet1!$U$85:$U$104</c:f>
              <c:numCache>
                <c:formatCode>General</c:formatCode>
                <c:ptCount val="20"/>
                <c:pt idx="0">
                  <c:v>7.4</c:v>
                </c:pt>
                <c:pt idx="1">
                  <c:v>4.5</c:v>
                </c:pt>
                <c:pt idx="2">
                  <c:v>10.4</c:v>
                </c:pt>
                <c:pt idx="3">
                  <c:v>13.5</c:v>
                </c:pt>
                <c:pt idx="4">
                  <c:v>11.1</c:v>
                </c:pt>
                <c:pt idx="5">
                  <c:v>7.8</c:v>
                </c:pt>
                <c:pt idx="6">
                  <c:v>8.1</c:v>
                </c:pt>
                <c:pt idx="7">
                  <c:v>9.4</c:v>
                </c:pt>
                <c:pt idx="8">
                  <c:v>7.8</c:v>
                </c:pt>
                <c:pt idx="9">
                  <c:v>12.7</c:v>
                </c:pt>
                <c:pt idx="10">
                  <c:v>9.1999999999999993</c:v>
                </c:pt>
                <c:pt idx="11">
                  <c:v>7.8</c:v>
                </c:pt>
                <c:pt idx="12">
                  <c:v>9.8000000000000007</c:v>
                </c:pt>
                <c:pt idx="13">
                  <c:v>9.6</c:v>
                </c:pt>
                <c:pt idx="14">
                  <c:v>14</c:v>
                </c:pt>
                <c:pt idx="15">
                  <c:v>10.5</c:v>
                </c:pt>
                <c:pt idx="16">
                  <c:v>9.5</c:v>
                </c:pt>
                <c:pt idx="17">
                  <c:v>9.3000000000000007</c:v>
                </c:pt>
                <c:pt idx="18">
                  <c:v>10.199999999999999</c:v>
                </c:pt>
                <c:pt idx="19">
                  <c:v>9.1999999999999993</c:v>
                </c:pt>
              </c:numCache>
            </c:numRef>
          </c:xVal>
          <c:yVal>
            <c:numRef>
              <c:f>Sheet1!$AD$85:$AD$104</c:f>
              <c:numCache>
                <c:formatCode>0.0</c:formatCode>
                <c:ptCount val="20"/>
                <c:pt idx="0">
                  <c:v>2.0306045650513624</c:v>
                </c:pt>
                <c:pt idx="1">
                  <c:v>5.8173554526334783</c:v>
                </c:pt>
                <c:pt idx="2">
                  <c:v>4.9286481343702917</c:v>
                </c:pt>
                <c:pt idx="3">
                  <c:v>-1.1448950370440798</c:v>
                </c:pt>
                <c:pt idx="4">
                  <c:v>1.9557176139473995</c:v>
                </c:pt>
                <c:pt idx="5">
                  <c:v>5.0462667429444537</c:v>
                </c:pt>
                <c:pt idx="6">
                  <c:v>1.5538975841537876</c:v>
                </c:pt>
                <c:pt idx="7">
                  <c:v>2.0515230416153827</c:v>
                </c:pt>
                <c:pt idx="8">
                  <c:v>5.8559936966192936</c:v>
                </c:pt>
                <c:pt idx="9">
                  <c:v>-0.2585656442522577</c:v>
                </c:pt>
                <c:pt idx="10">
                  <c:v>1.3837960898608799</c:v>
                </c:pt>
                <c:pt idx="11">
                  <c:v>2.4269973247289727</c:v>
                </c:pt>
                <c:pt idx="12">
                  <c:v>-0.19486738482794408</c:v>
                </c:pt>
                <c:pt idx="13">
                  <c:v>5.5506653760102154</c:v>
                </c:pt>
                <c:pt idx="14">
                  <c:v>3.6271409266468027</c:v>
                </c:pt>
                <c:pt idx="15">
                  <c:v>2.7525615608614089</c:v>
                </c:pt>
                <c:pt idx="16">
                  <c:v>3.8696455087988397</c:v>
                </c:pt>
                <c:pt idx="17">
                  <c:v>2.4367984593638994</c:v>
                </c:pt>
                <c:pt idx="18">
                  <c:v>1.7984282348302258</c:v>
                </c:pt>
                <c:pt idx="19">
                  <c:v>0.88187114251286403</c:v>
                </c:pt>
              </c:numCache>
            </c:numRef>
          </c:yVal>
          <c:smooth val="0"/>
          <c:extLst>
            <c:ext xmlns:c16="http://schemas.microsoft.com/office/drawing/2014/chart" uri="{C3380CC4-5D6E-409C-BE32-E72D297353CC}">
              <c16:uniqueId val="{00000001-6206-40E7-A2A0-E060CC6B490D}"/>
            </c:ext>
          </c:extLst>
        </c:ser>
        <c:ser>
          <c:idx val="2"/>
          <c:order val="2"/>
          <c:tx>
            <c:strRef>
              <c:f>Sheet1!$AD$119</c:f>
              <c:strCache>
                <c:ptCount val="1"/>
                <c:pt idx="0">
                  <c:v>Value of X1</c:v>
                </c:pt>
              </c:strCache>
            </c:strRef>
          </c:tx>
          <c:spPr>
            <a:ln w="12700">
              <a:solidFill>
                <a:srgbClr val="000000"/>
              </a:solidFill>
              <a:prstDash val="sysDash"/>
            </a:ln>
          </c:spPr>
          <c:marker>
            <c:symbol val="none"/>
          </c:marker>
          <c:xVal>
            <c:numRef>
              <c:f>Sheet1!$AD$122:$AD$123</c:f>
              <c:numCache>
                <c:formatCode>0.00</c:formatCode>
                <c:ptCount val="2"/>
                <c:pt idx="0">
                  <c:v>9.68</c:v>
                </c:pt>
                <c:pt idx="1">
                  <c:v>9.68</c:v>
                </c:pt>
              </c:numCache>
            </c:numRef>
          </c:xVal>
          <c:yVal>
            <c:numRef>
              <c:f>Sheet1!$AD$120:$AD$121</c:f>
              <c:numCache>
                <c:formatCode>0.00</c:formatCode>
                <c:ptCount val="2"/>
                <c:pt idx="0">
                  <c:v>1.5852419743182764</c:v>
                </c:pt>
                <c:pt idx="1">
                  <c:v>1.5852419743182764</c:v>
                </c:pt>
              </c:numCache>
            </c:numRef>
          </c:yVal>
          <c:smooth val="0"/>
          <c:extLst>
            <c:ext xmlns:c16="http://schemas.microsoft.com/office/drawing/2014/chart" uri="{C3380CC4-5D6E-409C-BE32-E72D297353CC}">
              <c16:uniqueId val="{00000002-6206-40E7-A2A0-E060CC6B490D}"/>
            </c:ext>
          </c:extLst>
        </c:ser>
        <c:dLbls>
          <c:showLegendKey val="0"/>
          <c:showVal val="0"/>
          <c:showCatName val="0"/>
          <c:showSerName val="0"/>
          <c:showPercent val="0"/>
          <c:showBubbleSize val="0"/>
        </c:dLbls>
        <c:axId val="270410112"/>
        <c:axId val="270412032"/>
      </c:scatterChart>
      <c:valAx>
        <c:axId val="270410112"/>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Predictor</a:t>
                </a:r>
              </a:p>
            </c:rich>
          </c:tx>
          <c:layout>
            <c:manualLayout>
              <c:xMode val="edge"/>
              <c:yMode val="edge"/>
              <c:x val="0.43220916616192206"/>
              <c:y val="0.907002962349004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70412032"/>
        <c:crosses val="autoZero"/>
        <c:crossBetween val="midCat"/>
      </c:valAx>
      <c:valAx>
        <c:axId val="270412032"/>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70410112"/>
        <c:crosses val="autoZero"/>
        <c:crossBetween val="midCat"/>
      </c:valAx>
      <c:spPr>
        <a:solidFill>
          <a:srgbClr val="FFFFFF"/>
        </a:solidFill>
        <a:ln w="12700">
          <a:solidFill>
            <a:srgbClr val="808080"/>
          </a:solidFill>
          <a:prstDash val="solid"/>
        </a:ln>
      </c:spPr>
    </c:plotArea>
    <c:legend>
      <c:legendPos val="r"/>
      <c:layout>
        <c:manualLayout>
          <c:xMode val="edge"/>
          <c:yMode val="edge"/>
          <c:x val="0.43344841510195842"/>
          <c:y val="2.7329971911405813E-2"/>
          <c:w val="0.50222531798909753"/>
          <c:h val="0.2053613912296050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a:t>Custom effect</a:t>
            </a:r>
          </a:p>
        </c:rich>
      </c:tx>
      <c:layout>
        <c:manualLayout>
          <c:xMode val="edge"/>
          <c:yMode val="edge"/>
          <c:x val="1.9762971936200281E-2"/>
          <c:y val="8.6956774208533663E-2"/>
        </c:manualLayout>
      </c:layout>
      <c:overlay val="0"/>
      <c:spPr>
        <a:noFill/>
        <a:ln w="25400">
          <a:noFill/>
        </a:ln>
      </c:spPr>
    </c:title>
    <c:autoTitleDeleted val="0"/>
    <c:plotArea>
      <c:layout>
        <c:manualLayout>
          <c:layoutTarget val="inner"/>
          <c:xMode val="edge"/>
          <c:yMode val="edge"/>
          <c:x val="0.13801208167287232"/>
          <c:y val="0.24841719530185891"/>
          <c:w val="0.81580474944408998"/>
          <c:h val="0.6271643163299242"/>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linear"/>
            <c:dispRSqr val="0"/>
            <c:dispEq val="0"/>
          </c:trendline>
          <c:xVal>
            <c:numRef>
              <c:f>Sheet1!$V$52:$V$71</c:f>
              <c:numCache>
                <c:formatCode>General</c:formatCode>
                <c:ptCount val="20"/>
                <c:pt idx="0">
                  <c:v>598.02704824440752</c:v>
                </c:pt>
                <c:pt idx="1">
                  <c:v>600.66905327122458</c:v>
                </c:pt>
                <c:pt idx="2">
                  <c:v>598.82084680337027</c:v>
                </c:pt>
                <c:pt idx="3">
                  <c:v>598.71841840199204</c:v>
                </c:pt>
                <c:pt idx="4">
                  <c:v>599.62950133809181</c:v>
                </c:pt>
                <c:pt idx="5">
                  <c:v>599.79657230397652</c:v>
                </c:pt>
                <c:pt idx="6">
                  <c:v>597.82503348627085</c:v>
                </c:pt>
                <c:pt idx="7">
                  <c:v>600.02898876915674</c:v>
                </c:pt>
                <c:pt idx="8">
                  <c:v>601.4057695649044</c:v>
                </c:pt>
                <c:pt idx="9">
                  <c:v>599.62067993835615</c:v>
                </c:pt>
                <c:pt idx="10">
                  <c:v>599.94813702816714</c:v>
                </c:pt>
                <c:pt idx="11">
                  <c:v>598.94512177982801</c:v>
                </c:pt>
                <c:pt idx="12">
                  <c:v>598.4994680399052</c:v>
                </c:pt>
                <c:pt idx="13">
                  <c:v>601.14642052145996</c:v>
                </c:pt>
                <c:pt idx="14">
                  <c:v>601.34073455552357</c:v>
                </c:pt>
                <c:pt idx="15">
                  <c:v>598.10232181983656</c:v>
                </c:pt>
                <c:pt idx="16">
                  <c:v>600.32074406621712</c:v>
                </c:pt>
                <c:pt idx="17">
                  <c:v>596.92186441148829</c:v>
                </c:pt>
                <c:pt idx="18">
                  <c:v>598.66893167020567</c:v>
                </c:pt>
                <c:pt idx="19">
                  <c:v>601.13608795791242</c:v>
                </c:pt>
              </c:numCache>
            </c:numRef>
          </c:xVal>
          <c:yVal>
            <c:numRef>
              <c:f>Sheet1!$AE$52:$AE$71</c:f>
              <c:numCache>
                <c:formatCode>0.0</c:formatCode>
                <c:ptCount val="20"/>
                <c:pt idx="0">
                  <c:v>-0.56978030063112328</c:v>
                </c:pt>
                <c:pt idx="1">
                  <c:v>1.2145961191587276</c:v>
                </c:pt>
                <c:pt idx="2">
                  <c:v>1.0728093912979375</c:v>
                </c:pt>
                <c:pt idx="3">
                  <c:v>2.6041854869574763</c:v>
                </c:pt>
                <c:pt idx="4">
                  <c:v>2.5456226331936023</c:v>
                </c:pt>
                <c:pt idx="5">
                  <c:v>0.86337116524873636</c:v>
                </c:pt>
                <c:pt idx="6">
                  <c:v>1.0460424048652612</c:v>
                </c:pt>
                <c:pt idx="7">
                  <c:v>-2.4192817714707644</c:v>
                </c:pt>
                <c:pt idx="8">
                  <c:v>-1.6362598790425409</c:v>
                </c:pt>
                <c:pt idx="9">
                  <c:v>0.12398194019681341</c:v>
                </c:pt>
                <c:pt idx="10">
                  <c:v>-1.1021332193988655</c:v>
                </c:pt>
                <c:pt idx="11">
                  <c:v>-0.27479877920086437</c:v>
                </c:pt>
                <c:pt idx="12">
                  <c:v>2.2343215865220145</c:v>
                </c:pt>
                <c:pt idx="13">
                  <c:v>-0.43724022209187297</c:v>
                </c:pt>
                <c:pt idx="14">
                  <c:v>0.15295577378890357</c:v>
                </c:pt>
                <c:pt idx="15">
                  <c:v>1.0941203951267653</c:v>
                </c:pt>
                <c:pt idx="16">
                  <c:v>2.0482253740547094</c:v>
                </c:pt>
                <c:pt idx="17">
                  <c:v>1.0426326187756558</c:v>
                </c:pt>
                <c:pt idx="18">
                  <c:v>0.2522695352631672</c:v>
                </c:pt>
                <c:pt idx="19">
                  <c:v>1.1844553312920425</c:v>
                </c:pt>
              </c:numCache>
            </c:numRef>
          </c:yVal>
          <c:smooth val="0"/>
          <c:extLst>
            <c:ext xmlns:c16="http://schemas.microsoft.com/office/drawing/2014/chart" uri="{C3380CC4-5D6E-409C-BE32-E72D297353CC}">
              <c16:uniqueId val="{00000000-3657-416E-81FD-79A60E8232DF}"/>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linear"/>
            <c:dispRSqr val="0"/>
            <c:dispEq val="0"/>
          </c:trendline>
          <c:xVal>
            <c:numRef>
              <c:f>Sheet1!$V$85:$V$104</c:f>
              <c:numCache>
                <c:formatCode>General</c:formatCode>
                <c:ptCount val="20"/>
                <c:pt idx="0">
                  <c:v>597.86305162961685</c:v>
                </c:pt>
                <c:pt idx="1">
                  <c:v>600.35164374711439</c:v>
                </c:pt>
                <c:pt idx="2">
                  <c:v>598.13987789175599</c:v>
                </c:pt>
                <c:pt idx="3">
                  <c:v>599.61406131909939</c:v>
                </c:pt>
                <c:pt idx="4">
                  <c:v>600.46165453782123</c:v>
                </c:pt>
                <c:pt idx="5">
                  <c:v>599.16949939940559</c:v>
                </c:pt>
                <c:pt idx="6">
                  <c:v>597.34224410483262</c:v>
                </c:pt>
                <c:pt idx="7">
                  <c:v>597.44432059460837</c:v>
                </c:pt>
                <c:pt idx="8">
                  <c:v>600.1730801071642</c:v>
                </c:pt>
                <c:pt idx="9">
                  <c:v>599.00421821529653</c:v>
                </c:pt>
                <c:pt idx="10">
                  <c:v>598.93080909832111</c:v>
                </c:pt>
                <c:pt idx="11">
                  <c:v>597.64020546116058</c:v>
                </c:pt>
                <c:pt idx="12">
                  <c:v>599.31631897010516</c:v>
                </c:pt>
                <c:pt idx="13">
                  <c:v>598.6413336836373</c:v>
                </c:pt>
                <c:pt idx="14">
                  <c:v>600.99180375307606</c:v>
                </c:pt>
                <c:pt idx="15">
                  <c:v>597.73486184092849</c:v>
                </c:pt>
                <c:pt idx="16">
                  <c:v>598.74110354635332</c:v>
                </c:pt>
                <c:pt idx="17">
                  <c:v>598.46908709152945</c:v>
                </c:pt>
                <c:pt idx="18">
                  <c:v>597.59771449582672</c:v>
                </c:pt>
                <c:pt idx="19">
                  <c:v>600.80698880230125</c:v>
                </c:pt>
              </c:numCache>
            </c:numRef>
          </c:xVal>
          <c:yVal>
            <c:numRef>
              <c:f>Sheet1!$AE$85:$AE$104</c:f>
              <c:numCache>
                <c:formatCode>0.0</c:formatCode>
                <c:ptCount val="20"/>
                <c:pt idx="0">
                  <c:v>2.0306045650513624</c:v>
                </c:pt>
                <c:pt idx="1">
                  <c:v>5.8173554526334783</c:v>
                </c:pt>
                <c:pt idx="2">
                  <c:v>4.9286481343702917</c:v>
                </c:pt>
                <c:pt idx="3">
                  <c:v>-1.1448950370440798</c:v>
                </c:pt>
                <c:pt idx="4">
                  <c:v>1.9557176139473995</c:v>
                </c:pt>
                <c:pt idx="5">
                  <c:v>5.0462667429444537</c:v>
                </c:pt>
                <c:pt idx="6">
                  <c:v>1.5538975841537876</c:v>
                </c:pt>
                <c:pt idx="7">
                  <c:v>2.0515230416153827</c:v>
                </c:pt>
                <c:pt idx="8">
                  <c:v>5.8559936966192936</c:v>
                </c:pt>
                <c:pt idx="9">
                  <c:v>-0.2585656442522577</c:v>
                </c:pt>
                <c:pt idx="10">
                  <c:v>1.3837960898608799</c:v>
                </c:pt>
                <c:pt idx="11">
                  <c:v>2.4269973247289727</c:v>
                </c:pt>
                <c:pt idx="12">
                  <c:v>-0.19486738482794408</c:v>
                </c:pt>
                <c:pt idx="13">
                  <c:v>5.5506653760102154</c:v>
                </c:pt>
                <c:pt idx="14">
                  <c:v>3.6271409266468027</c:v>
                </c:pt>
                <c:pt idx="15">
                  <c:v>2.7525615608614089</c:v>
                </c:pt>
                <c:pt idx="16">
                  <c:v>3.8696455087988397</c:v>
                </c:pt>
                <c:pt idx="17">
                  <c:v>2.4367984593638994</c:v>
                </c:pt>
                <c:pt idx="18">
                  <c:v>1.7984282348302258</c:v>
                </c:pt>
                <c:pt idx="19">
                  <c:v>0.88187114251286403</c:v>
                </c:pt>
              </c:numCache>
            </c:numRef>
          </c:yVal>
          <c:smooth val="0"/>
          <c:extLst>
            <c:ext xmlns:c16="http://schemas.microsoft.com/office/drawing/2014/chart" uri="{C3380CC4-5D6E-409C-BE32-E72D297353CC}">
              <c16:uniqueId val="{00000001-3657-416E-81FD-79A60E8232DF}"/>
            </c:ext>
          </c:extLst>
        </c:ser>
        <c:ser>
          <c:idx val="2"/>
          <c:order val="2"/>
          <c:tx>
            <c:strRef>
              <c:f>Sheet1!$AE$119</c:f>
              <c:strCache>
                <c:ptCount val="1"/>
                <c:pt idx="0">
                  <c:v>Value of X2</c:v>
                </c:pt>
              </c:strCache>
            </c:strRef>
          </c:tx>
          <c:spPr>
            <a:ln w="12700">
              <a:solidFill>
                <a:srgbClr val="000000"/>
              </a:solidFill>
              <a:prstDash val="sysDash"/>
            </a:ln>
          </c:spPr>
          <c:marker>
            <c:symbol val="none"/>
          </c:marker>
          <c:xVal>
            <c:numRef>
              <c:f>Sheet1!$AE$122:$AE$123</c:f>
              <c:numCache>
                <c:formatCode>0.00</c:formatCode>
                <c:ptCount val="2"/>
                <c:pt idx="0">
                  <c:v>599.20014055655622</c:v>
                </c:pt>
                <c:pt idx="1">
                  <c:v>599.20014055655622</c:v>
                </c:pt>
              </c:numCache>
            </c:numRef>
          </c:xVal>
          <c:yVal>
            <c:numRef>
              <c:f>Sheet1!$AE$120:$AE$121</c:f>
              <c:numCache>
                <c:formatCode>0.00</c:formatCode>
                <c:ptCount val="2"/>
                <c:pt idx="0">
                  <c:v>1.5852419743182764</c:v>
                </c:pt>
                <c:pt idx="1">
                  <c:v>1.5852419743182764</c:v>
                </c:pt>
              </c:numCache>
            </c:numRef>
          </c:yVal>
          <c:smooth val="0"/>
          <c:extLst>
            <c:ext xmlns:c16="http://schemas.microsoft.com/office/drawing/2014/chart" uri="{C3380CC4-5D6E-409C-BE32-E72D297353CC}">
              <c16:uniqueId val="{00000002-3657-416E-81FD-79A60E8232DF}"/>
            </c:ext>
          </c:extLst>
        </c:ser>
        <c:dLbls>
          <c:showLegendKey val="0"/>
          <c:showVal val="0"/>
          <c:showCatName val="0"/>
          <c:showSerName val="0"/>
          <c:showPercent val="0"/>
          <c:showBubbleSize val="0"/>
        </c:dLbls>
        <c:axId val="65626880"/>
        <c:axId val="65628416"/>
      </c:scatterChart>
      <c:valAx>
        <c:axId val="65626880"/>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Predictor</a:t>
                </a:r>
              </a:p>
            </c:rich>
          </c:tx>
          <c:layout>
            <c:manualLayout>
              <c:xMode val="edge"/>
              <c:yMode val="edge"/>
              <c:x val="0.4708839087421765"/>
              <c:y val="0.889255878413428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628416"/>
        <c:crosses val="autoZero"/>
        <c:crossBetween val="midCat"/>
      </c:valAx>
      <c:valAx>
        <c:axId val="65628416"/>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626880"/>
        <c:crosses val="autoZero"/>
        <c:crossBetween val="midCat"/>
      </c:valAx>
      <c:spPr>
        <a:solidFill>
          <a:srgbClr val="FFFFFF"/>
        </a:solidFill>
        <a:ln w="12700">
          <a:solidFill>
            <a:srgbClr val="808080"/>
          </a:solidFill>
          <a:prstDash val="solid"/>
        </a:ln>
      </c:spPr>
    </c:plotArea>
    <c:legend>
      <c:legendPos val="r"/>
      <c:layout>
        <c:manualLayout>
          <c:xMode val="edge"/>
          <c:yMode val="edge"/>
          <c:x val="0.45398223299010698"/>
          <c:y val="1.7489296138867596E-2"/>
          <c:w val="0.48373874419543705"/>
          <c:h val="0.2066309742255669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a:t>Custom effect</a:t>
            </a:r>
          </a:p>
        </c:rich>
      </c:tx>
      <c:layout>
        <c:manualLayout>
          <c:xMode val="edge"/>
          <c:yMode val="edge"/>
          <c:x val="1.9762971936200281E-2"/>
          <c:y val="8.3333717057297668E-2"/>
        </c:manualLayout>
      </c:layout>
      <c:overlay val="0"/>
      <c:spPr>
        <a:noFill/>
        <a:ln w="25400">
          <a:noFill/>
        </a:ln>
      </c:spPr>
    </c:title>
    <c:autoTitleDeleted val="0"/>
    <c:plotArea>
      <c:layout>
        <c:manualLayout>
          <c:layoutTarget val="inner"/>
          <c:xMode val="edge"/>
          <c:yMode val="edge"/>
          <c:x val="0.15027982226601655"/>
          <c:y val="0.24870536931043882"/>
          <c:w val="0.80353700885094559"/>
          <c:h val="0.62375424299502491"/>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linear"/>
            <c:dispRSqr val="0"/>
            <c:dispEq val="0"/>
          </c:trendline>
          <c:xVal>
            <c:numRef>
              <c:f>Sheet1!$U$52:$U$71</c:f>
              <c:numCache>
                <c:formatCode>General</c:formatCode>
                <c:ptCount val="20"/>
                <c:pt idx="0">
                  <c:v>8.1</c:v>
                </c:pt>
                <c:pt idx="1">
                  <c:v>6.1</c:v>
                </c:pt>
                <c:pt idx="2">
                  <c:v>10.9</c:v>
                </c:pt>
                <c:pt idx="3">
                  <c:v>14</c:v>
                </c:pt>
                <c:pt idx="4">
                  <c:v>12.1</c:v>
                </c:pt>
                <c:pt idx="5">
                  <c:v>8.6999999999999993</c:v>
                </c:pt>
                <c:pt idx="6">
                  <c:v>7.6</c:v>
                </c:pt>
                <c:pt idx="7">
                  <c:v>12.4</c:v>
                </c:pt>
                <c:pt idx="8">
                  <c:v>7.3</c:v>
                </c:pt>
                <c:pt idx="9">
                  <c:v>12.3</c:v>
                </c:pt>
                <c:pt idx="10">
                  <c:v>9.1999999999999993</c:v>
                </c:pt>
                <c:pt idx="11">
                  <c:v>6.2</c:v>
                </c:pt>
                <c:pt idx="12">
                  <c:v>9.4</c:v>
                </c:pt>
                <c:pt idx="13">
                  <c:v>7.6</c:v>
                </c:pt>
                <c:pt idx="14">
                  <c:v>14.7</c:v>
                </c:pt>
                <c:pt idx="15">
                  <c:v>11.1</c:v>
                </c:pt>
                <c:pt idx="16">
                  <c:v>11.4</c:v>
                </c:pt>
                <c:pt idx="17">
                  <c:v>9.1999999999999993</c:v>
                </c:pt>
                <c:pt idx="18">
                  <c:v>10</c:v>
                </c:pt>
                <c:pt idx="19">
                  <c:v>7.1</c:v>
                </c:pt>
              </c:numCache>
            </c:numRef>
          </c:xVal>
          <c:yVal>
            <c:numRef>
              <c:f>Sheet1!$AF$52:$AF$71</c:f>
              <c:numCache>
                <c:formatCode>0.0</c:formatCode>
                <c:ptCount val="20"/>
                <c:pt idx="0">
                  <c:v>-0.92162740000844146</c:v>
                </c:pt>
                <c:pt idx="1">
                  <c:v>1.6551690157177958</c:v>
                </c:pt>
                <c:pt idx="2">
                  <c:v>0.95904732373654322</c:v>
                </c:pt>
                <c:pt idx="3">
                  <c:v>2.4597019360604904</c:v>
                </c:pt>
                <c:pt idx="4">
                  <c:v>2.6744013695344537</c:v>
                </c:pt>
                <c:pt idx="5">
                  <c:v>1.0422597131772449</c:v>
                </c:pt>
                <c:pt idx="6">
                  <c:v>0.63360475694738772</c:v>
                </c:pt>
                <c:pt idx="7">
                  <c:v>-2.1706842515591327</c:v>
                </c:pt>
                <c:pt idx="8">
                  <c:v>-0.97472270856331733</c:v>
                </c:pt>
                <c:pt idx="9">
                  <c:v>0.25011486266837352</c:v>
                </c:pt>
                <c:pt idx="10">
                  <c:v>-0.87778566707477335</c:v>
                </c:pt>
                <c:pt idx="11">
                  <c:v>-0.35128689181514089</c:v>
                </c:pt>
                <c:pt idx="12">
                  <c:v>2.0241679694162027</c:v>
                </c:pt>
                <c:pt idx="13">
                  <c:v>0.14651005325795574</c:v>
                </c:pt>
                <c:pt idx="14">
                  <c:v>0.79498690951566064</c:v>
                </c:pt>
                <c:pt idx="15">
                  <c:v>0.76485019690222633</c:v>
                </c:pt>
                <c:pt idx="16">
                  <c:v>2.38432943879284</c:v>
                </c:pt>
                <c:pt idx="17">
                  <c:v>0.35930629831377336</c:v>
                </c:pt>
                <c:pt idx="18">
                  <c:v>9.2943364687933711E-2</c:v>
                </c:pt>
                <c:pt idx="19">
                  <c:v>1.7651065474496126</c:v>
                </c:pt>
              </c:numCache>
            </c:numRef>
          </c:yVal>
          <c:smooth val="0"/>
          <c:extLst>
            <c:ext xmlns:c16="http://schemas.microsoft.com/office/drawing/2014/chart" uri="{C3380CC4-5D6E-409C-BE32-E72D297353CC}">
              <c16:uniqueId val="{00000000-DE03-4ABF-99D0-FBBBDD6E0005}"/>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linear"/>
            <c:dispRSqr val="0"/>
            <c:dispEq val="0"/>
          </c:trendline>
          <c:xVal>
            <c:numRef>
              <c:f>Sheet1!$U$85:$U$104</c:f>
              <c:numCache>
                <c:formatCode>General</c:formatCode>
                <c:ptCount val="20"/>
                <c:pt idx="0">
                  <c:v>7.4</c:v>
                </c:pt>
                <c:pt idx="1">
                  <c:v>4.5</c:v>
                </c:pt>
                <c:pt idx="2">
                  <c:v>10.4</c:v>
                </c:pt>
                <c:pt idx="3">
                  <c:v>13.5</c:v>
                </c:pt>
                <c:pt idx="4">
                  <c:v>11.1</c:v>
                </c:pt>
                <c:pt idx="5">
                  <c:v>7.8</c:v>
                </c:pt>
                <c:pt idx="6">
                  <c:v>8.1</c:v>
                </c:pt>
                <c:pt idx="7">
                  <c:v>9.4</c:v>
                </c:pt>
                <c:pt idx="8">
                  <c:v>7.8</c:v>
                </c:pt>
                <c:pt idx="9">
                  <c:v>12.7</c:v>
                </c:pt>
                <c:pt idx="10">
                  <c:v>9.1999999999999993</c:v>
                </c:pt>
                <c:pt idx="11">
                  <c:v>7.8</c:v>
                </c:pt>
                <c:pt idx="12">
                  <c:v>9.8000000000000007</c:v>
                </c:pt>
                <c:pt idx="13">
                  <c:v>9.6</c:v>
                </c:pt>
                <c:pt idx="14">
                  <c:v>14</c:v>
                </c:pt>
                <c:pt idx="15">
                  <c:v>10.5</c:v>
                </c:pt>
                <c:pt idx="16">
                  <c:v>9.5</c:v>
                </c:pt>
                <c:pt idx="17">
                  <c:v>9.3000000000000007</c:v>
                </c:pt>
                <c:pt idx="18">
                  <c:v>10.199999999999999</c:v>
                </c:pt>
                <c:pt idx="19">
                  <c:v>9.1999999999999993</c:v>
                </c:pt>
              </c:numCache>
            </c:numRef>
          </c:xVal>
          <c:yVal>
            <c:numRef>
              <c:f>Sheet1!$AF$85:$AF$104</c:f>
              <c:numCache>
                <c:formatCode>0.0</c:formatCode>
                <c:ptCount val="20"/>
                <c:pt idx="0">
                  <c:v>2.4813904384093881</c:v>
                </c:pt>
                <c:pt idx="1">
                  <c:v>5.4291379145386047</c:v>
                </c:pt>
                <c:pt idx="2">
                  <c:v>5.2861048612275869</c:v>
                </c:pt>
                <c:pt idx="3">
                  <c:v>-1.2844441939360984</c:v>
                </c:pt>
                <c:pt idx="4">
                  <c:v>1.5304110615256297</c:v>
                </c:pt>
                <c:pt idx="5">
                  <c:v>5.0565970960784545</c:v>
                </c:pt>
                <c:pt idx="6">
                  <c:v>2.1802683944454335</c:v>
                </c:pt>
                <c:pt idx="7">
                  <c:v>2.6434798060901858</c:v>
                </c:pt>
                <c:pt idx="8">
                  <c:v>5.5279770657065557</c:v>
                </c:pt>
                <c:pt idx="9">
                  <c:v>-0.19251242824271217</c:v>
                </c:pt>
                <c:pt idx="10">
                  <c:v>1.4745984397847693</c:v>
                </c:pt>
                <c:pt idx="11">
                  <c:v>2.952913507409054</c:v>
                </c:pt>
                <c:pt idx="12">
                  <c:v>-0.2340357501938044</c:v>
                </c:pt>
                <c:pt idx="13">
                  <c:v>5.7390614050042128</c:v>
                </c:pt>
                <c:pt idx="14">
                  <c:v>3.0230999817745943</c:v>
                </c:pt>
                <c:pt idx="15">
                  <c:v>3.2465653120173887</c:v>
                </c:pt>
                <c:pt idx="16">
                  <c:v>4.0244051477269966</c:v>
                </c:pt>
                <c:pt idx="17">
                  <c:v>2.6832656673886119</c:v>
                </c:pt>
                <c:pt idx="18">
                  <c:v>2.3386698124275265</c:v>
                </c:pt>
                <c:pt idx="19">
                  <c:v>0.34013867041018564</c:v>
                </c:pt>
              </c:numCache>
            </c:numRef>
          </c:yVal>
          <c:smooth val="0"/>
          <c:extLst>
            <c:ext xmlns:c16="http://schemas.microsoft.com/office/drawing/2014/chart" uri="{C3380CC4-5D6E-409C-BE32-E72D297353CC}">
              <c16:uniqueId val="{00000001-DE03-4ABF-99D0-FBBBDD6E0005}"/>
            </c:ext>
          </c:extLst>
        </c:ser>
        <c:ser>
          <c:idx val="2"/>
          <c:order val="2"/>
          <c:tx>
            <c:strRef>
              <c:f>Sheet1!$AF$119</c:f>
              <c:strCache>
                <c:ptCount val="1"/>
                <c:pt idx="0">
                  <c:v>Value of X1</c:v>
                </c:pt>
              </c:strCache>
            </c:strRef>
          </c:tx>
          <c:spPr>
            <a:ln w="12700">
              <a:solidFill>
                <a:srgbClr val="000000"/>
              </a:solidFill>
              <a:prstDash val="sysDash"/>
            </a:ln>
          </c:spPr>
          <c:marker>
            <c:symbol val="none"/>
          </c:marker>
          <c:xVal>
            <c:numRef>
              <c:f>Sheet1!$AF$122:$AF$123</c:f>
              <c:numCache>
                <c:formatCode>0.00</c:formatCode>
                <c:ptCount val="2"/>
                <c:pt idx="0">
                  <c:v>9.68</c:v>
                </c:pt>
                <c:pt idx="1">
                  <c:v>9.68</c:v>
                </c:pt>
              </c:numCache>
            </c:numRef>
          </c:xVal>
          <c:yVal>
            <c:numRef>
              <c:f>Sheet1!$AF$120:$AF$121</c:f>
              <c:numCache>
                <c:formatCode>0.00</c:formatCode>
                <c:ptCount val="2"/>
                <c:pt idx="0">
                  <c:v>5.7390614050042128</c:v>
                </c:pt>
                <c:pt idx="1">
                  <c:v>-2.1706842515591327</c:v>
                </c:pt>
              </c:numCache>
            </c:numRef>
          </c:yVal>
          <c:smooth val="0"/>
          <c:extLst>
            <c:ext xmlns:c16="http://schemas.microsoft.com/office/drawing/2014/chart" uri="{C3380CC4-5D6E-409C-BE32-E72D297353CC}">
              <c16:uniqueId val="{00000002-DE03-4ABF-99D0-FBBBDD6E0005}"/>
            </c:ext>
          </c:extLst>
        </c:ser>
        <c:dLbls>
          <c:showLegendKey val="0"/>
          <c:showVal val="0"/>
          <c:showCatName val="0"/>
          <c:showSerName val="0"/>
          <c:showPercent val="0"/>
          <c:showBubbleSize val="0"/>
        </c:dLbls>
        <c:axId val="65652608"/>
        <c:axId val="65654784"/>
      </c:scatterChart>
      <c:valAx>
        <c:axId val="65652608"/>
        <c:scaling>
          <c:orientation val="minMax"/>
        </c:scaling>
        <c:delete val="0"/>
        <c:axPos val="b"/>
        <c:title>
          <c:tx>
            <c:rich>
              <a:bodyPr/>
              <a:lstStyle/>
              <a:p>
                <a:pPr>
                  <a:defRPr/>
                </a:pPr>
                <a:r>
                  <a:rPr lang="en-US"/>
                  <a:t>Predictor</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654784"/>
        <c:crosses val="autoZero"/>
        <c:crossBetween val="midCat"/>
      </c:valAx>
      <c:valAx>
        <c:axId val="65654784"/>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652608"/>
        <c:crosses val="autoZero"/>
        <c:crossBetween val="midCat"/>
      </c:valAx>
      <c:spPr>
        <a:solidFill>
          <a:srgbClr val="FFFFFF"/>
        </a:solidFill>
        <a:ln w="12700">
          <a:solidFill>
            <a:srgbClr val="808080"/>
          </a:solidFill>
          <a:prstDash val="solid"/>
        </a:ln>
      </c:spPr>
    </c:plotArea>
    <c:legend>
      <c:legendPos val="r"/>
      <c:layout>
        <c:manualLayout>
          <c:xMode val="edge"/>
          <c:yMode val="edge"/>
          <c:x val="0.44986715122148196"/>
          <c:y val="1.9012754984574297E-2"/>
          <c:w val="0.49914435695538056"/>
          <c:h val="0.21001903270863073"/>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a:t>Custom effect</a:t>
            </a:r>
          </a:p>
        </c:rich>
      </c:tx>
      <c:layout>
        <c:manualLayout>
          <c:xMode val="edge"/>
          <c:yMode val="edge"/>
          <c:x val="1.9762971936200281E-2"/>
          <c:y val="8.6956678492111569E-2"/>
        </c:manualLayout>
      </c:layout>
      <c:overlay val="0"/>
      <c:spPr>
        <a:noFill/>
        <a:ln w="25400">
          <a:noFill/>
        </a:ln>
      </c:spPr>
    </c:title>
    <c:autoTitleDeleted val="0"/>
    <c:plotArea>
      <c:layout>
        <c:manualLayout>
          <c:layoutTarget val="inner"/>
          <c:xMode val="edge"/>
          <c:yMode val="edge"/>
          <c:x val="0.15027982226601655"/>
          <c:y val="0.24498166172560606"/>
          <c:w val="0.80353700885094559"/>
          <c:h val="0.63074894302614681"/>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linear"/>
            <c:dispRSqr val="0"/>
            <c:dispEq val="0"/>
          </c:trendline>
          <c:xVal>
            <c:numRef>
              <c:f>Sheet1!$V$52:$V$71</c:f>
              <c:numCache>
                <c:formatCode>General</c:formatCode>
                <c:ptCount val="20"/>
                <c:pt idx="0">
                  <c:v>598.02704824440752</c:v>
                </c:pt>
                <c:pt idx="1">
                  <c:v>600.66905327122458</c:v>
                </c:pt>
                <c:pt idx="2">
                  <c:v>598.82084680337027</c:v>
                </c:pt>
                <c:pt idx="3">
                  <c:v>598.71841840199204</c:v>
                </c:pt>
                <c:pt idx="4">
                  <c:v>599.62950133809181</c:v>
                </c:pt>
                <c:pt idx="5">
                  <c:v>599.79657230397652</c:v>
                </c:pt>
                <c:pt idx="6">
                  <c:v>597.82503348627085</c:v>
                </c:pt>
                <c:pt idx="7">
                  <c:v>600.02898876915674</c:v>
                </c:pt>
                <c:pt idx="8">
                  <c:v>601.4057695649044</c:v>
                </c:pt>
                <c:pt idx="9">
                  <c:v>599.62067993835615</c:v>
                </c:pt>
                <c:pt idx="10">
                  <c:v>599.94813702816714</c:v>
                </c:pt>
                <c:pt idx="11">
                  <c:v>598.94512177982801</c:v>
                </c:pt>
                <c:pt idx="12">
                  <c:v>598.4994680399052</c:v>
                </c:pt>
                <c:pt idx="13">
                  <c:v>601.14642052145996</c:v>
                </c:pt>
                <c:pt idx="14">
                  <c:v>601.34073455552357</c:v>
                </c:pt>
                <c:pt idx="15">
                  <c:v>598.10232181983656</c:v>
                </c:pt>
                <c:pt idx="16">
                  <c:v>600.32074406621712</c:v>
                </c:pt>
                <c:pt idx="17">
                  <c:v>596.92186441148829</c:v>
                </c:pt>
                <c:pt idx="18">
                  <c:v>598.66893167020567</c:v>
                </c:pt>
                <c:pt idx="19">
                  <c:v>601.13608795791242</c:v>
                </c:pt>
              </c:numCache>
            </c:numRef>
          </c:xVal>
          <c:yVal>
            <c:numRef>
              <c:f>Sheet1!$AG$52:$AG$71</c:f>
              <c:numCache>
                <c:formatCode>0.0</c:formatCode>
                <c:ptCount val="20"/>
                <c:pt idx="0">
                  <c:v>-0.40374545634853859</c:v>
                </c:pt>
                <c:pt idx="1">
                  <c:v>1.5908016524066093</c:v>
                </c:pt>
                <c:pt idx="2">
                  <c:v>0.94460527102910619</c:v>
                </c:pt>
                <c:pt idx="3">
                  <c:v>2.1502167987924348</c:v>
                </c:pt>
                <c:pt idx="4">
                  <c:v>2.2913160995455928</c:v>
                </c:pt>
                <c:pt idx="5">
                  <c:v>0.96635480284173192</c:v>
                </c:pt>
                <c:pt idx="6">
                  <c:v>1.2646199213891702</c:v>
                </c:pt>
                <c:pt idx="7">
                  <c:v>-2.7051139084635683</c:v>
                </c:pt>
                <c:pt idx="8">
                  <c:v>-1.3861567591738373</c:v>
                </c:pt>
                <c:pt idx="9">
                  <c:v>-0.15134166234772584</c:v>
                </c:pt>
                <c:pt idx="10">
                  <c:v>-1.0516922540471942</c:v>
                </c:pt>
                <c:pt idx="11">
                  <c:v>9.0898219598752439E-2</c:v>
                </c:pt>
                <c:pt idx="12">
                  <c:v>2.2637454829771562</c:v>
                </c:pt>
                <c:pt idx="13">
                  <c:v>-0.21866270556796402</c:v>
                </c:pt>
                <c:pt idx="14">
                  <c:v>-0.37457265551399199</c:v>
                </c:pt>
                <c:pt idx="15">
                  <c:v>0.94489920596140442</c:v>
                </c:pt>
                <c:pt idx="16">
                  <c:v>1.8674785815445538</c:v>
                </c:pt>
                <c:pt idx="17">
                  <c:v>1.0930735841273271</c:v>
                </c:pt>
                <c:pt idx="18">
                  <c:v>0.21864222502871963</c:v>
                </c:pt>
                <c:pt idx="19">
                  <c:v>1.4555755200572758</c:v>
                </c:pt>
              </c:numCache>
            </c:numRef>
          </c:yVal>
          <c:smooth val="0"/>
          <c:extLst>
            <c:ext xmlns:c16="http://schemas.microsoft.com/office/drawing/2014/chart" uri="{C3380CC4-5D6E-409C-BE32-E72D297353CC}">
              <c16:uniqueId val="{00000000-DCED-469D-9083-988D9A94F3F7}"/>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linear"/>
            <c:dispRSqr val="0"/>
            <c:dispEq val="0"/>
          </c:trendline>
          <c:xVal>
            <c:numRef>
              <c:f>Sheet1!$V$85:$V$104</c:f>
              <c:numCache>
                <c:formatCode>General</c:formatCode>
                <c:ptCount val="20"/>
                <c:pt idx="0">
                  <c:v>597.86305162961685</c:v>
                </c:pt>
                <c:pt idx="1">
                  <c:v>600.35164374711439</c:v>
                </c:pt>
                <c:pt idx="2">
                  <c:v>598.13987789175599</c:v>
                </c:pt>
                <c:pt idx="3">
                  <c:v>599.61406131909939</c:v>
                </c:pt>
                <c:pt idx="4">
                  <c:v>600.46165453782123</c:v>
                </c:pt>
                <c:pt idx="5">
                  <c:v>599.16949939940559</c:v>
                </c:pt>
                <c:pt idx="6">
                  <c:v>597.34224410483262</c:v>
                </c:pt>
                <c:pt idx="7">
                  <c:v>597.44432059460837</c:v>
                </c:pt>
                <c:pt idx="8">
                  <c:v>600.1730801071642</c:v>
                </c:pt>
                <c:pt idx="9">
                  <c:v>599.00421821529653</c:v>
                </c:pt>
                <c:pt idx="10">
                  <c:v>598.93080909832111</c:v>
                </c:pt>
                <c:pt idx="11">
                  <c:v>597.64020546116058</c:v>
                </c:pt>
                <c:pt idx="12">
                  <c:v>599.31631897010516</c:v>
                </c:pt>
                <c:pt idx="13">
                  <c:v>598.6413336836373</c:v>
                </c:pt>
                <c:pt idx="14">
                  <c:v>600.99180375307606</c:v>
                </c:pt>
                <c:pt idx="15">
                  <c:v>597.73486184092849</c:v>
                </c:pt>
                <c:pt idx="16">
                  <c:v>598.74110354635332</c:v>
                </c:pt>
                <c:pt idx="17">
                  <c:v>598.46908709152945</c:v>
                </c:pt>
                <c:pt idx="18">
                  <c:v>597.59771449582672</c:v>
                </c:pt>
                <c:pt idx="19">
                  <c:v>600.80698880230125</c:v>
                </c:pt>
              </c:numCache>
            </c:numRef>
          </c:xVal>
          <c:yVal>
            <c:numRef>
              <c:f>Sheet1!$AG$85:$AG$104</c:f>
              <c:numCache>
                <c:formatCode>0.0</c:formatCode>
                <c:ptCount val="20"/>
                <c:pt idx="0">
                  <c:v>0.92975688035060955</c:v>
                </c:pt>
                <c:pt idx="1">
                  <c:v>3.3163067654624689</c:v>
                </c:pt>
                <c:pt idx="2">
                  <c:v>5.2762842453284247</c:v>
                </c:pt>
                <c:pt idx="3">
                  <c:v>0.69950766276156817</c:v>
                </c:pt>
                <c:pt idx="4">
                  <c:v>2.6413332772259386</c:v>
                </c:pt>
                <c:pt idx="5">
                  <c:v>4.1385502309982183</c:v>
                </c:pt>
                <c:pt idx="6">
                  <c:v>0.79102945177344108</c:v>
                </c:pt>
                <c:pt idx="7">
                  <c:v>1.9163312206872203</c:v>
                </c:pt>
                <c:pt idx="8">
                  <c:v>4.9482771846730582</c:v>
                </c:pt>
                <c:pt idx="9">
                  <c:v>1.1995747100443537</c:v>
                </c:pt>
                <c:pt idx="10">
                  <c:v>1.152038682555458</c:v>
                </c:pt>
                <c:pt idx="11">
                  <c:v>1.5192808127827377</c:v>
                </c:pt>
                <c:pt idx="12">
                  <c:v>-0.13692803300158818</c:v>
                </c:pt>
                <c:pt idx="13">
                  <c:v>5.5120391414593115</c:v>
                </c:pt>
                <c:pt idx="14">
                  <c:v>5.7129575923955986</c:v>
                </c:pt>
                <c:pt idx="15">
                  <c:v>3.1484804650081712</c:v>
                </c:pt>
                <c:pt idx="16">
                  <c:v>3.7827364810593069</c:v>
                </c:pt>
                <c:pt idx="17">
                  <c:v>2.2533238452471078</c:v>
                </c:pt>
                <c:pt idx="18">
                  <c:v>2.0494987594110992</c:v>
                </c:pt>
                <c:pt idx="19">
                  <c:v>0.65011373520744209</c:v>
                </c:pt>
              </c:numCache>
            </c:numRef>
          </c:yVal>
          <c:smooth val="0"/>
          <c:extLst>
            <c:ext xmlns:c16="http://schemas.microsoft.com/office/drawing/2014/chart" uri="{C3380CC4-5D6E-409C-BE32-E72D297353CC}">
              <c16:uniqueId val="{00000001-DCED-469D-9083-988D9A94F3F7}"/>
            </c:ext>
          </c:extLst>
        </c:ser>
        <c:ser>
          <c:idx val="2"/>
          <c:order val="2"/>
          <c:tx>
            <c:strRef>
              <c:f>Sheet1!$AG$119</c:f>
              <c:strCache>
                <c:ptCount val="1"/>
                <c:pt idx="0">
                  <c:v>Value of X2</c:v>
                </c:pt>
              </c:strCache>
            </c:strRef>
          </c:tx>
          <c:spPr>
            <a:ln w="12700">
              <a:solidFill>
                <a:srgbClr val="000000"/>
              </a:solidFill>
              <a:prstDash val="sysDash"/>
            </a:ln>
          </c:spPr>
          <c:marker>
            <c:symbol val="none"/>
          </c:marker>
          <c:xVal>
            <c:numRef>
              <c:f>Sheet1!$AG$122:$AG$123</c:f>
              <c:numCache>
                <c:formatCode>0.00</c:formatCode>
                <c:ptCount val="2"/>
                <c:pt idx="0">
                  <c:v>599.20014055655622</c:v>
                </c:pt>
                <c:pt idx="1">
                  <c:v>599.20014055655622</c:v>
                </c:pt>
              </c:numCache>
            </c:numRef>
          </c:xVal>
          <c:yVal>
            <c:numRef>
              <c:f>Sheet1!$AG$120:$AG$121</c:f>
              <c:numCache>
                <c:formatCode>0.00</c:formatCode>
                <c:ptCount val="2"/>
                <c:pt idx="0">
                  <c:v>5.7129575923955986</c:v>
                </c:pt>
                <c:pt idx="1">
                  <c:v>-2.7051139084635683</c:v>
                </c:pt>
              </c:numCache>
            </c:numRef>
          </c:yVal>
          <c:smooth val="0"/>
          <c:extLst>
            <c:ext xmlns:c16="http://schemas.microsoft.com/office/drawing/2014/chart" uri="{C3380CC4-5D6E-409C-BE32-E72D297353CC}">
              <c16:uniqueId val="{00000002-DCED-469D-9083-988D9A94F3F7}"/>
            </c:ext>
          </c:extLst>
        </c:ser>
        <c:dLbls>
          <c:showLegendKey val="0"/>
          <c:showVal val="0"/>
          <c:showCatName val="0"/>
          <c:showSerName val="0"/>
          <c:showPercent val="0"/>
          <c:showBubbleSize val="0"/>
        </c:dLbls>
        <c:axId val="65801600"/>
        <c:axId val="65820160"/>
      </c:scatterChart>
      <c:valAx>
        <c:axId val="65801600"/>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Predictor</a:t>
                </a:r>
              </a:p>
            </c:rich>
          </c:tx>
          <c:layout>
            <c:manualLayout>
              <c:xMode val="edge"/>
              <c:yMode val="edge"/>
              <c:x val="0.48114031899858672"/>
              <c:y val="0.887974099391422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820160"/>
        <c:crosses val="autoZero"/>
        <c:crossBetween val="midCat"/>
      </c:valAx>
      <c:valAx>
        <c:axId val="65820160"/>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801600"/>
        <c:crosses val="autoZero"/>
        <c:crossBetween val="midCat"/>
      </c:valAx>
      <c:spPr>
        <a:solidFill>
          <a:srgbClr val="FFFFFF"/>
        </a:solidFill>
        <a:ln w="12700">
          <a:solidFill>
            <a:srgbClr val="808080"/>
          </a:solidFill>
          <a:prstDash val="solid"/>
        </a:ln>
      </c:spPr>
    </c:plotArea>
    <c:legend>
      <c:legendPos val="r"/>
      <c:layout>
        <c:manualLayout>
          <c:xMode val="edge"/>
          <c:yMode val="edge"/>
          <c:x val="0.44349404401372905"/>
          <c:y val="1.1990929018488073E-2"/>
          <c:w val="0.49424793054714311"/>
          <c:h val="0.21558290790574255"/>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a:t>
            </a:r>
          </a:p>
        </c:rich>
      </c:tx>
      <c:layout>
        <c:manualLayout>
          <c:xMode val="edge"/>
          <c:yMode val="edge"/>
          <c:x val="1.968503937007874E-2"/>
          <c:y val="8.5366395732791464E-2"/>
        </c:manualLayout>
      </c:layout>
      <c:overlay val="0"/>
      <c:spPr>
        <a:noFill/>
        <a:ln w="25400">
          <a:noFill/>
        </a:ln>
      </c:spPr>
    </c:title>
    <c:autoTitleDeleted val="0"/>
    <c:plotArea>
      <c:layout>
        <c:manualLayout>
          <c:layoutTarget val="inner"/>
          <c:xMode val="edge"/>
          <c:yMode val="edge"/>
          <c:x val="0.18110236220472442"/>
          <c:y val="0.18873702745280618"/>
          <c:w val="0.79133858267716539"/>
          <c:h val="0.66248402962369457"/>
        </c:manualLayout>
      </c:layout>
      <c:lineChart>
        <c:grouping val="standard"/>
        <c:varyColors val="0"/>
        <c:ser>
          <c:idx val="0"/>
          <c:order val="0"/>
          <c:tx>
            <c:strRef>
              <c:f>Sheet1!$V$17</c:f>
              <c:strCache>
                <c:ptCount val="1"/>
                <c:pt idx="0">
                  <c:v>Control</c:v>
                </c:pt>
              </c:strCache>
            </c:strRef>
          </c:tx>
          <c:spPr>
            <a:ln w="3175">
              <a:solidFill>
                <a:srgbClr val="3366FF"/>
              </a:solidFill>
              <a:prstDash val="solid"/>
            </a:ln>
          </c:spPr>
          <c:marker>
            <c:symbol val="circle"/>
            <c:size val="6"/>
            <c:spPr>
              <a:solidFill>
                <a:srgbClr val="3366FF"/>
              </a:solidFill>
              <a:ln>
                <a:solidFill>
                  <a:srgbClr val="000000"/>
                </a:solidFill>
                <a:prstDash val="solid"/>
              </a:ln>
            </c:spPr>
          </c:marker>
          <c:errBars>
            <c:errDir val="y"/>
            <c:errBarType val="both"/>
            <c:errValType val="cust"/>
            <c:noEndCap val="0"/>
            <c:plus>
              <c:numRef>
                <c:f>Sheet1!$W$20:$AA$20</c:f>
                <c:numCache>
                  <c:formatCode>General</c:formatCode>
                  <c:ptCount val="5"/>
                  <c:pt idx="0">
                    <c:v>7.1564030953515942</c:v>
                  </c:pt>
                  <c:pt idx="1">
                    <c:v>6.2891803499092171</c:v>
                  </c:pt>
                  <c:pt idx="2">
                    <c:v>6.3709042570605003</c:v>
                  </c:pt>
                  <c:pt idx="3">
                    <c:v>8.1710963639816239</c:v>
                  </c:pt>
                  <c:pt idx="4">
                    <c:v>6.4178103332588616</c:v>
                  </c:pt>
                </c:numCache>
              </c:numRef>
            </c:plus>
            <c:minus>
              <c:numRef>
                <c:f>Sheet1!$W$21:$AA$21</c:f>
                <c:numCache>
                  <c:formatCode>General</c:formatCode>
                  <c:ptCount val="5"/>
                  <c:pt idx="0">
                    <c:v>7.1564030953515942</c:v>
                  </c:pt>
                  <c:pt idx="1">
                    <c:v>6.2891803499092171</c:v>
                  </c:pt>
                  <c:pt idx="2">
                    <c:v>6.3709042570605003</c:v>
                  </c:pt>
                  <c:pt idx="3">
                    <c:v>8.1710963639816239</c:v>
                  </c:pt>
                  <c:pt idx="4">
                    <c:v>6.4178103332588616</c:v>
                  </c:pt>
                </c:numCache>
              </c:numRef>
            </c:minus>
            <c:spPr>
              <a:ln w="12700">
                <a:solidFill>
                  <a:srgbClr val="000000"/>
                </a:solidFill>
                <a:prstDash val="solid"/>
              </a:ln>
            </c:spPr>
          </c:errBars>
          <c:cat>
            <c:strRef>
              <c:f>Sheet1!$W$16:$AA$16</c:f>
              <c:strCache>
                <c:ptCount val="5"/>
                <c:pt idx="0">
                  <c:v>Pre1</c:v>
                </c:pt>
                <c:pt idx="1">
                  <c:v>Pre2</c:v>
                </c:pt>
                <c:pt idx="2">
                  <c:v>Post1</c:v>
                </c:pt>
                <c:pt idx="3">
                  <c:v>Post2</c:v>
                </c:pt>
                <c:pt idx="4">
                  <c:v>Post3</c:v>
                </c:pt>
              </c:strCache>
            </c:strRef>
          </c:cat>
          <c:val>
            <c:numRef>
              <c:f>Sheet1!$W$19:$AA$19</c:f>
              <c:numCache>
                <c:formatCode>0.00</c:formatCode>
                <c:ptCount val="5"/>
                <c:pt idx="0">
                  <c:v>400.54</c:v>
                </c:pt>
                <c:pt idx="1">
                  <c:v>402.23</c:v>
                </c:pt>
                <c:pt idx="2">
                  <c:v>403.6</c:v>
                </c:pt>
                <c:pt idx="3">
                  <c:v>399.69500000000005</c:v>
                </c:pt>
                <c:pt idx="4">
                  <c:v>399.62500000000006</c:v>
                </c:pt>
              </c:numCache>
            </c:numRef>
          </c:val>
          <c:smooth val="0"/>
          <c:extLst>
            <c:ext xmlns:c16="http://schemas.microsoft.com/office/drawing/2014/chart" uri="{C3380CC4-5D6E-409C-BE32-E72D297353CC}">
              <c16:uniqueId val="{00000000-DF13-484F-92C8-5213CB76764F}"/>
            </c:ext>
          </c:extLst>
        </c:ser>
        <c:ser>
          <c:idx val="1"/>
          <c:order val="1"/>
          <c:tx>
            <c:strRef>
              <c:f>Sheet1!$V$22</c:f>
              <c:strCache>
                <c:ptCount val="1"/>
                <c:pt idx="0">
                  <c:v>Exptal</c:v>
                </c:pt>
              </c:strCache>
            </c:strRef>
          </c:tx>
          <c:spPr>
            <a:ln w="3175">
              <a:solidFill>
                <a:srgbClr val="FF0000"/>
              </a:solidFill>
              <a:prstDash val="solid"/>
            </a:ln>
          </c:spPr>
          <c:marker>
            <c:symbol val="triangle"/>
            <c:size val="6"/>
            <c:spPr>
              <a:solidFill>
                <a:srgbClr val="FF0000"/>
              </a:solidFill>
              <a:ln>
                <a:solidFill>
                  <a:srgbClr val="000000"/>
                </a:solidFill>
                <a:prstDash val="solid"/>
              </a:ln>
            </c:spPr>
          </c:marker>
          <c:errBars>
            <c:errDir val="y"/>
            <c:errBarType val="both"/>
            <c:errValType val="cust"/>
            <c:noEndCap val="0"/>
            <c:plus>
              <c:numRef>
                <c:f>Sheet1!$W$25:$AA$25</c:f>
                <c:numCache>
                  <c:formatCode>General</c:formatCode>
                  <c:ptCount val="5"/>
                  <c:pt idx="0">
                    <c:v>5.7548972280365804</c:v>
                  </c:pt>
                  <c:pt idx="1">
                    <c:v>6.1245493926621117</c:v>
                  </c:pt>
                  <c:pt idx="2">
                    <c:v>10.202368146144984</c:v>
                  </c:pt>
                  <c:pt idx="3">
                    <c:v>12.49136438546752</c:v>
                  </c:pt>
                  <c:pt idx="4">
                    <c:v>11.450877925432525</c:v>
                  </c:pt>
                </c:numCache>
              </c:numRef>
            </c:plus>
            <c:minus>
              <c:numRef>
                <c:f>Sheet1!$W$26:$AA$26</c:f>
                <c:numCache>
                  <c:formatCode>General</c:formatCode>
                  <c:ptCount val="5"/>
                  <c:pt idx="0">
                    <c:v>5.7548972280365804</c:v>
                  </c:pt>
                  <c:pt idx="1">
                    <c:v>6.1245493926621117</c:v>
                  </c:pt>
                  <c:pt idx="2">
                    <c:v>10.202368146144984</c:v>
                  </c:pt>
                  <c:pt idx="3">
                    <c:v>12.49136438546752</c:v>
                  </c:pt>
                  <c:pt idx="4">
                    <c:v>11.450877925432525</c:v>
                  </c:pt>
                </c:numCache>
              </c:numRef>
            </c:minus>
            <c:spPr>
              <a:ln w="12700">
                <a:solidFill>
                  <a:srgbClr val="000000"/>
                </a:solidFill>
                <a:prstDash val="solid"/>
              </a:ln>
            </c:spPr>
          </c:errBars>
          <c:cat>
            <c:strRef>
              <c:f>Sheet1!$W$16:$AA$16</c:f>
              <c:strCache>
                <c:ptCount val="5"/>
                <c:pt idx="0">
                  <c:v>Pre1</c:v>
                </c:pt>
                <c:pt idx="1">
                  <c:v>Pre2</c:v>
                </c:pt>
                <c:pt idx="2">
                  <c:v>Post1</c:v>
                </c:pt>
                <c:pt idx="3">
                  <c:v>Post2</c:v>
                </c:pt>
                <c:pt idx="4">
                  <c:v>Post3</c:v>
                </c:pt>
              </c:strCache>
            </c:strRef>
          </c:cat>
          <c:val>
            <c:numRef>
              <c:f>Sheet1!$W$24:$AA$24</c:f>
              <c:numCache>
                <c:formatCode>0.00</c:formatCode>
                <c:ptCount val="5"/>
                <c:pt idx="0">
                  <c:v>400.01</c:v>
                </c:pt>
                <c:pt idx="1">
                  <c:v>398.28000000000009</c:v>
                </c:pt>
                <c:pt idx="2">
                  <c:v>409.80999999999995</c:v>
                </c:pt>
                <c:pt idx="3">
                  <c:v>405.69500000000005</c:v>
                </c:pt>
                <c:pt idx="4">
                  <c:v>404.29499999999996</c:v>
                </c:pt>
              </c:numCache>
            </c:numRef>
          </c:val>
          <c:smooth val="0"/>
          <c:extLst>
            <c:ext xmlns:c16="http://schemas.microsoft.com/office/drawing/2014/chart" uri="{C3380CC4-5D6E-409C-BE32-E72D297353CC}">
              <c16:uniqueId val="{00000001-DF13-484F-92C8-5213CB76764F}"/>
            </c:ext>
          </c:extLst>
        </c:ser>
        <c:dLbls>
          <c:showLegendKey val="0"/>
          <c:showVal val="0"/>
          <c:showCatName val="0"/>
          <c:showSerName val="0"/>
          <c:showPercent val="0"/>
          <c:showBubbleSize val="0"/>
        </c:dLbls>
        <c:marker val="1"/>
        <c:smooth val="0"/>
        <c:axId val="65838464"/>
        <c:axId val="65844736"/>
      </c:lineChart>
      <c:catAx>
        <c:axId val="65838464"/>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Trial</a:t>
                </a:r>
              </a:p>
            </c:rich>
          </c:tx>
          <c:layout>
            <c:manualLayout>
              <c:xMode val="edge"/>
              <c:yMode val="edge"/>
              <c:x val="0.50593369080398687"/>
              <c:y val="0.925320675641351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crossAx val="65844736"/>
        <c:crosses val="autoZero"/>
        <c:auto val="1"/>
        <c:lblAlgn val="ctr"/>
        <c:lblOffset val="100"/>
        <c:tickMarkSkip val="1"/>
        <c:noMultiLvlLbl val="0"/>
      </c:catAx>
      <c:valAx>
        <c:axId val="658447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838464"/>
        <c:crossesAt val="0"/>
        <c:crossBetween val="between"/>
      </c:valAx>
      <c:spPr>
        <a:solidFill>
          <a:srgbClr val="FFFFFF"/>
        </a:solidFill>
        <a:ln w="12700">
          <a:solidFill>
            <a:srgbClr val="808080"/>
          </a:solidFill>
          <a:prstDash val="solid"/>
        </a:ln>
      </c:spPr>
    </c:plotArea>
    <c:legend>
      <c:legendPos val="r"/>
      <c:layout>
        <c:manualLayout>
          <c:xMode val="edge"/>
          <c:yMode val="edge"/>
          <c:x val="0.56748466257668717"/>
          <c:y val="2.4464835040781195E-2"/>
          <c:w val="0.2310331223934432"/>
          <c:h val="0.11151257302514606"/>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a:t>
            </a:r>
          </a:p>
        </c:rich>
      </c:tx>
      <c:layout>
        <c:manualLayout>
          <c:xMode val="edge"/>
          <c:yMode val="edge"/>
          <c:x val="4.3307086614173228E-2"/>
          <c:y val="8.1301486447857382E-2"/>
        </c:manualLayout>
      </c:layout>
      <c:overlay val="0"/>
      <c:spPr>
        <a:noFill/>
        <a:ln w="25400">
          <a:noFill/>
        </a:ln>
      </c:spPr>
    </c:title>
    <c:autoTitleDeleted val="0"/>
    <c:plotArea>
      <c:layout>
        <c:manualLayout>
          <c:layoutTarget val="inner"/>
          <c:xMode val="edge"/>
          <c:yMode val="edge"/>
          <c:x val="0.15027977714442137"/>
          <c:y val="0.13396246250923363"/>
          <c:w val="0.82807249003723415"/>
          <c:h val="0.72980059807228492"/>
        </c:manualLayout>
      </c:layout>
      <c:lineChart>
        <c:grouping val="standard"/>
        <c:varyColors val="0"/>
        <c:ser>
          <c:idx val="0"/>
          <c:order val="0"/>
          <c:tx>
            <c:strRef>
              <c:f>Sheet1!$V$30</c:f>
              <c:strCache>
                <c:ptCount val="1"/>
                <c:pt idx="0">
                  <c:v>Control</c:v>
                </c:pt>
              </c:strCache>
            </c:strRef>
          </c:tx>
          <c:spPr>
            <a:ln w="12700">
              <a:solidFill>
                <a:srgbClr val="3366FF"/>
              </a:solidFill>
              <a:prstDash val="solid"/>
            </a:ln>
          </c:spPr>
          <c:marker>
            <c:symbol val="circle"/>
            <c:size val="6"/>
            <c:spPr>
              <a:solidFill>
                <a:srgbClr val="3366FF"/>
              </a:solidFill>
              <a:ln>
                <a:solidFill>
                  <a:srgbClr val="000000"/>
                </a:solidFill>
                <a:prstDash val="solid"/>
              </a:ln>
            </c:spPr>
          </c:marker>
          <c:errBars>
            <c:errDir val="y"/>
            <c:errBarType val="both"/>
            <c:errValType val="cust"/>
            <c:noEndCap val="0"/>
            <c:plus>
              <c:numRef>
                <c:f>Sheet1!$W$33:$AA$33</c:f>
                <c:numCache>
                  <c:formatCode>General</c:formatCode>
                  <c:ptCount val="5"/>
                  <c:pt idx="0">
                    <c:v>7.1672286065833646</c:v>
                  </c:pt>
                  <c:pt idx="1">
                    <c:v>6.3236551572229587</c:v>
                  </c:pt>
                  <c:pt idx="2">
                    <c:v>6.4212187849462907</c:v>
                  </c:pt>
                  <c:pt idx="3">
                    <c:v>8.2293781654747704</c:v>
                  </c:pt>
                  <c:pt idx="4">
                    <c:v>6.4355373254990695</c:v>
                  </c:pt>
                </c:numCache>
              </c:numRef>
            </c:plus>
            <c:minus>
              <c:numRef>
                <c:f>Sheet1!$W$34:$AA$34</c:f>
                <c:numCache>
                  <c:formatCode>General</c:formatCode>
                  <c:ptCount val="5"/>
                  <c:pt idx="0">
                    <c:v>7.0412147864884673</c:v>
                  </c:pt>
                  <c:pt idx="1">
                    <c:v>6.2257655104791638</c:v>
                  </c:pt>
                  <c:pt idx="2">
                    <c:v>6.3206462944963846</c:v>
                  </c:pt>
                  <c:pt idx="3">
                    <c:v>8.0633283021697366</c:v>
                  </c:pt>
                  <c:pt idx="4">
                    <c:v>6.3335301209127124</c:v>
                  </c:pt>
                </c:numCache>
              </c:numRef>
            </c:minus>
            <c:spPr>
              <a:ln w="12700">
                <a:solidFill>
                  <a:srgbClr val="000000"/>
                </a:solidFill>
                <a:prstDash val="solid"/>
              </a:ln>
            </c:spPr>
          </c:errBars>
          <c:val>
            <c:numRef>
              <c:f>Sheet1!$W$32:$AA$32</c:f>
              <c:numCache>
                <c:formatCode>0.0</c:formatCode>
                <c:ptCount val="5"/>
                <c:pt idx="0">
                  <c:v>400.47985216876685</c:v>
                </c:pt>
                <c:pt idx="1">
                  <c:v>402.18343295319113</c:v>
                </c:pt>
                <c:pt idx="2">
                  <c:v>403.55222921947194</c:v>
                </c:pt>
                <c:pt idx="3">
                  <c:v>399.61597408271734</c:v>
                </c:pt>
                <c:pt idx="4">
                  <c:v>399.57637953717125</c:v>
                </c:pt>
              </c:numCache>
            </c:numRef>
          </c:val>
          <c:smooth val="0"/>
          <c:extLst>
            <c:ext xmlns:c15="http://schemas.microsoft.com/office/drawing/2012/chart" uri="{02D57815-91ED-43cb-92C2-25804820EDAC}">
              <c15:filteredCategoryTitle>
                <c15:cat>
                  <c:multiLvlStrRef>
                    <c:extLst>
                      <c:ext uri="{02D57815-91ED-43cb-92C2-25804820EDAC}">
                        <c15:formulaRef>
                          <c15:sqref>Sheet1!#REF!</c15:sqref>
                        </c15:formulaRef>
                      </c:ext>
                    </c:extLst>
                  </c:multiLvlStrRef>
                </c15:cat>
              </c15:filteredCategoryTitle>
            </c:ext>
            <c:ext xmlns:c16="http://schemas.microsoft.com/office/drawing/2014/chart" uri="{C3380CC4-5D6E-409C-BE32-E72D297353CC}">
              <c16:uniqueId val="{00000000-83E1-4D58-B30A-62FB257BE30E}"/>
            </c:ext>
          </c:extLst>
        </c:ser>
        <c:ser>
          <c:idx val="1"/>
          <c:order val="1"/>
          <c:tx>
            <c:strRef>
              <c:f>Sheet1!$V$35</c:f>
              <c:strCache>
                <c:ptCount val="1"/>
                <c:pt idx="0">
                  <c:v>Exptal</c:v>
                </c:pt>
              </c:strCache>
            </c:strRef>
          </c:tx>
          <c:spPr>
            <a:ln w="12700">
              <a:solidFill>
                <a:srgbClr val="FF0000"/>
              </a:solidFill>
              <a:prstDash val="solid"/>
            </a:ln>
          </c:spPr>
          <c:marker>
            <c:symbol val="triangle"/>
            <c:size val="6"/>
            <c:spPr>
              <a:solidFill>
                <a:srgbClr val="FF0000"/>
              </a:solidFill>
              <a:ln>
                <a:solidFill>
                  <a:srgbClr val="000000"/>
                </a:solidFill>
                <a:prstDash val="solid"/>
              </a:ln>
            </c:spPr>
          </c:marker>
          <c:errBars>
            <c:errDir val="y"/>
            <c:errBarType val="both"/>
            <c:errValType val="cust"/>
            <c:noEndCap val="0"/>
            <c:plus>
              <c:numRef>
                <c:f>Sheet1!$W$38:$AA$38</c:f>
                <c:numCache>
                  <c:formatCode>General</c:formatCode>
                  <c:ptCount val="5"/>
                  <c:pt idx="0">
                    <c:v>5.8191359741567226</c:v>
                  </c:pt>
                  <c:pt idx="1">
                    <c:v>6.1623489094491788</c:v>
                  </c:pt>
                  <c:pt idx="2">
                    <c:v>10.261167300934346</c:v>
                  </c:pt>
                  <c:pt idx="3">
                    <c:v>12.483065711175243</c:v>
                  </c:pt>
                  <c:pt idx="4">
                    <c:v>11.67396741909846</c:v>
                  </c:pt>
                </c:numCache>
              </c:numRef>
            </c:plus>
            <c:minus>
              <c:numRef>
                <c:f>Sheet1!$W$39:$AA$39</c:f>
                <c:numCache>
                  <c:formatCode>General</c:formatCode>
                  <c:ptCount val="5"/>
                  <c:pt idx="0">
                    <c:v>5.7356879427569538</c:v>
                  </c:pt>
                  <c:pt idx="1">
                    <c:v>6.0684449530826328</c:v>
                  </c:pt>
                  <c:pt idx="2">
                    <c:v>10.010444206175293</c:v>
                  </c:pt>
                  <c:pt idx="3">
                    <c:v>12.110273254788922</c:v>
                  </c:pt>
                  <c:pt idx="4">
                    <c:v>11.346220960300116</c:v>
                  </c:pt>
                </c:numCache>
              </c:numRef>
            </c:minus>
            <c:spPr>
              <a:ln w="12700">
                <a:solidFill>
                  <a:srgbClr val="000000"/>
                </a:solidFill>
                <a:prstDash val="solid"/>
              </a:ln>
            </c:spPr>
          </c:errBars>
          <c:val>
            <c:numRef>
              <c:f>Sheet1!$W$37:$AA$37</c:f>
              <c:numCache>
                <c:formatCode>0.0</c:formatCode>
                <c:ptCount val="5"/>
                <c:pt idx="0">
                  <c:v>399.97046646109879</c:v>
                </c:pt>
                <c:pt idx="1">
                  <c:v>398.23535222216032</c:v>
                </c:pt>
                <c:pt idx="2">
                  <c:v>409.69039112628769</c:v>
                </c:pt>
                <c:pt idx="3">
                  <c:v>405.51608335968922</c:v>
                </c:pt>
                <c:pt idx="4">
                  <c:v>404.13987783753089</c:v>
                </c:pt>
              </c:numCache>
            </c:numRef>
          </c:val>
          <c:smooth val="0"/>
          <c:extLst>
            <c:ext xmlns:c15="http://schemas.microsoft.com/office/drawing/2012/chart" uri="{02D57815-91ED-43cb-92C2-25804820EDAC}">
              <c15:filteredCategoryTitle>
                <c15:cat>
                  <c:multiLvlStrRef>
                    <c:extLst>
                      <c:ext uri="{02D57815-91ED-43cb-92C2-25804820EDAC}">
                        <c15:formulaRef>
                          <c15:sqref>Sheet1!#REF!</c15:sqref>
                        </c15:formulaRef>
                      </c:ext>
                    </c:extLst>
                  </c:multiLvlStrRef>
                </c15:cat>
              </c15:filteredCategoryTitle>
            </c:ext>
            <c:ext xmlns:c16="http://schemas.microsoft.com/office/drawing/2014/chart" uri="{C3380CC4-5D6E-409C-BE32-E72D297353CC}">
              <c16:uniqueId val="{00000001-83E1-4D58-B30A-62FB257BE30E}"/>
            </c:ext>
          </c:extLst>
        </c:ser>
        <c:dLbls>
          <c:showLegendKey val="0"/>
          <c:showVal val="0"/>
          <c:showCatName val="0"/>
          <c:showSerName val="0"/>
          <c:showPercent val="0"/>
          <c:showBubbleSize val="0"/>
        </c:dLbls>
        <c:marker val="1"/>
        <c:smooth val="0"/>
        <c:axId val="65854848"/>
        <c:axId val="66131456"/>
      </c:lineChart>
      <c:catAx>
        <c:axId val="65854848"/>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Trial</a:t>
                </a:r>
              </a:p>
            </c:rich>
          </c:tx>
          <c:layout>
            <c:manualLayout>
              <c:xMode val="edge"/>
              <c:yMode val="edge"/>
              <c:x val="0.47719916912226462"/>
              <c:y val="0.9296178633611392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crossAx val="66131456"/>
        <c:crosses val="autoZero"/>
        <c:auto val="1"/>
        <c:lblAlgn val="ctr"/>
        <c:lblOffset val="100"/>
        <c:tickMarkSkip val="1"/>
        <c:noMultiLvlLbl val="0"/>
      </c:catAx>
      <c:valAx>
        <c:axId val="66131456"/>
        <c:scaling>
          <c:logBase val="2"/>
          <c:orientation val="minMax"/>
        </c:scaling>
        <c:delete val="0"/>
        <c:axPos val="l"/>
        <c:numFmt formatCode="0" sourceLinked="0"/>
        <c:majorTickMark val="out"/>
        <c:minorTickMark val="out"/>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854848"/>
        <c:crosses val="autoZero"/>
        <c:crossBetween val="between"/>
      </c:valAx>
      <c:spPr>
        <a:solidFill>
          <a:srgbClr val="FFFFFF"/>
        </a:solidFill>
        <a:ln w="12700">
          <a:solidFill>
            <a:srgbClr val="808080"/>
          </a:solidFill>
          <a:prstDash val="solid"/>
        </a:ln>
      </c:spPr>
    </c:plotArea>
    <c:legend>
      <c:legendPos val="r"/>
      <c:layout>
        <c:manualLayout>
          <c:xMode val="edge"/>
          <c:yMode val="edge"/>
          <c:x val="0.43558282208588961"/>
          <c:y val="2.7522998362828406E-2"/>
          <c:w val="0.2310331223934432"/>
          <c:h val="0.10293456511005433"/>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a:t>
            </a:r>
          </a:p>
        </c:rich>
      </c:tx>
      <c:layout>
        <c:manualLayout>
          <c:xMode val="edge"/>
          <c:yMode val="edge"/>
          <c:x val="1.968503937007874E-2"/>
          <c:y val="8.5366923474188366E-2"/>
        </c:manualLayout>
      </c:layout>
      <c:overlay val="0"/>
      <c:spPr>
        <a:noFill/>
        <a:ln w="25400">
          <a:noFill/>
        </a:ln>
      </c:spPr>
    </c:title>
    <c:autoTitleDeleted val="0"/>
    <c:plotArea>
      <c:layout>
        <c:manualLayout>
          <c:layoutTarget val="inner"/>
          <c:xMode val="edge"/>
          <c:yMode val="edge"/>
          <c:x val="0.18110236220472442"/>
          <c:y val="0.17584568556223845"/>
          <c:w val="0.79133858267716539"/>
          <c:h val="0.6710782575507398"/>
        </c:manualLayout>
      </c:layout>
      <c:scatterChart>
        <c:scatterStyle val="lineMarker"/>
        <c:varyColors val="0"/>
        <c:ser>
          <c:idx val="0"/>
          <c:order val="0"/>
          <c:tx>
            <c:strRef>
              <c:f>Sheet1!$V$17</c:f>
              <c:strCache>
                <c:ptCount val="1"/>
                <c:pt idx="0">
                  <c:v>Control</c:v>
                </c:pt>
              </c:strCache>
            </c:strRef>
          </c:tx>
          <c:spPr>
            <a:ln w="3175">
              <a:solidFill>
                <a:srgbClr val="3366FF"/>
              </a:solidFill>
            </a:ln>
          </c:spPr>
          <c:marker>
            <c:symbol val="circle"/>
            <c:size val="6"/>
            <c:spPr>
              <a:solidFill>
                <a:srgbClr val="3366FF"/>
              </a:solidFill>
              <a:ln>
                <a:solidFill>
                  <a:srgbClr val="000000"/>
                </a:solidFill>
                <a:prstDash val="solid"/>
              </a:ln>
            </c:spPr>
          </c:marker>
          <c:errBars>
            <c:errDir val="y"/>
            <c:errBarType val="both"/>
            <c:errValType val="cust"/>
            <c:noEndCap val="0"/>
            <c:plus>
              <c:numRef>
                <c:f>Sheet1!$W$20:$AA$20</c:f>
                <c:numCache>
                  <c:formatCode>General</c:formatCode>
                  <c:ptCount val="5"/>
                  <c:pt idx="0">
                    <c:v>7.1564030953515942</c:v>
                  </c:pt>
                  <c:pt idx="1">
                    <c:v>6.2891803499092171</c:v>
                  </c:pt>
                  <c:pt idx="2">
                    <c:v>6.3709042570605003</c:v>
                  </c:pt>
                  <c:pt idx="3">
                    <c:v>8.1710963639816239</c:v>
                  </c:pt>
                  <c:pt idx="4">
                    <c:v>6.4178103332588616</c:v>
                  </c:pt>
                </c:numCache>
              </c:numRef>
            </c:plus>
            <c:minus>
              <c:numRef>
                <c:f>Sheet1!$W$21:$AA$21</c:f>
                <c:numCache>
                  <c:formatCode>General</c:formatCode>
                  <c:ptCount val="5"/>
                  <c:pt idx="0">
                    <c:v>7.1564030953515942</c:v>
                  </c:pt>
                  <c:pt idx="1">
                    <c:v>6.2891803499092171</c:v>
                  </c:pt>
                  <c:pt idx="2">
                    <c:v>6.3709042570605003</c:v>
                  </c:pt>
                  <c:pt idx="3">
                    <c:v>8.1710963639816239</c:v>
                  </c:pt>
                  <c:pt idx="4">
                    <c:v>6.4178103332588616</c:v>
                  </c:pt>
                </c:numCache>
              </c:numRef>
            </c:minus>
            <c:spPr>
              <a:ln w="12700">
                <a:solidFill>
                  <a:srgbClr val="000000"/>
                </a:solidFill>
                <a:prstDash val="solid"/>
              </a:ln>
            </c:spPr>
          </c:errBars>
          <c:xVal>
            <c:numRef>
              <c:f>Sheet1!$W$18:$AA$18</c:f>
              <c:numCache>
                <c:formatCode>0.0</c:formatCode>
                <c:ptCount val="5"/>
                <c:pt idx="0">
                  <c:v>0.94</c:v>
                </c:pt>
                <c:pt idx="1">
                  <c:v>1.94</c:v>
                </c:pt>
                <c:pt idx="2">
                  <c:v>2.94</c:v>
                </c:pt>
                <c:pt idx="3">
                  <c:v>3.94</c:v>
                </c:pt>
                <c:pt idx="4">
                  <c:v>4.9400000000000004</c:v>
                </c:pt>
              </c:numCache>
            </c:numRef>
          </c:xVal>
          <c:yVal>
            <c:numRef>
              <c:f>Sheet1!$W$19:$AA$19</c:f>
              <c:numCache>
                <c:formatCode>0.00</c:formatCode>
                <c:ptCount val="5"/>
                <c:pt idx="0">
                  <c:v>400.54</c:v>
                </c:pt>
                <c:pt idx="1">
                  <c:v>402.23</c:v>
                </c:pt>
                <c:pt idx="2">
                  <c:v>403.6</c:v>
                </c:pt>
                <c:pt idx="3">
                  <c:v>399.69500000000005</c:v>
                </c:pt>
                <c:pt idx="4">
                  <c:v>399.62500000000006</c:v>
                </c:pt>
              </c:numCache>
            </c:numRef>
          </c:yVal>
          <c:smooth val="0"/>
          <c:extLst>
            <c:ext xmlns:c16="http://schemas.microsoft.com/office/drawing/2014/chart" uri="{C3380CC4-5D6E-409C-BE32-E72D297353CC}">
              <c16:uniqueId val="{00000000-B45C-42AE-B5EC-656AACACE810}"/>
            </c:ext>
          </c:extLst>
        </c:ser>
        <c:ser>
          <c:idx val="1"/>
          <c:order val="1"/>
          <c:tx>
            <c:strRef>
              <c:f>Sheet1!$V$22</c:f>
              <c:strCache>
                <c:ptCount val="1"/>
                <c:pt idx="0">
                  <c:v>Exptal</c:v>
                </c:pt>
              </c:strCache>
            </c:strRef>
          </c:tx>
          <c:spPr>
            <a:ln w="3175">
              <a:solidFill>
                <a:srgbClr val="FF0000"/>
              </a:solidFill>
            </a:ln>
          </c:spPr>
          <c:marker>
            <c:symbol val="triangle"/>
            <c:size val="6"/>
            <c:spPr>
              <a:solidFill>
                <a:srgbClr val="FF0000"/>
              </a:solidFill>
              <a:ln>
                <a:solidFill>
                  <a:srgbClr val="000000"/>
                </a:solidFill>
                <a:prstDash val="solid"/>
              </a:ln>
            </c:spPr>
          </c:marker>
          <c:errBars>
            <c:errDir val="y"/>
            <c:errBarType val="both"/>
            <c:errValType val="cust"/>
            <c:noEndCap val="0"/>
            <c:plus>
              <c:numRef>
                <c:f>Sheet1!$W$25:$AA$25</c:f>
                <c:numCache>
                  <c:formatCode>General</c:formatCode>
                  <c:ptCount val="5"/>
                  <c:pt idx="0">
                    <c:v>5.7548972280365804</c:v>
                  </c:pt>
                  <c:pt idx="1">
                    <c:v>6.1245493926621117</c:v>
                  </c:pt>
                  <c:pt idx="2">
                    <c:v>10.202368146144984</c:v>
                  </c:pt>
                  <c:pt idx="3">
                    <c:v>12.49136438546752</c:v>
                  </c:pt>
                  <c:pt idx="4">
                    <c:v>11.450877925432525</c:v>
                  </c:pt>
                </c:numCache>
              </c:numRef>
            </c:plus>
            <c:minus>
              <c:numRef>
                <c:f>Sheet1!$W$26:$AA$26</c:f>
                <c:numCache>
                  <c:formatCode>General</c:formatCode>
                  <c:ptCount val="5"/>
                  <c:pt idx="0">
                    <c:v>5.7548972280365804</c:v>
                  </c:pt>
                  <c:pt idx="1">
                    <c:v>6.1245493926621117</c:v>
                  </c:pt>
                  <c:pt idx="2">
                    <c:v>10.202368146144984</c:v>
                  </c:pt>
                  <c:pt idx="3">
                    <c:v>12.49136438546752</c:v>
                  </c:pt>
                  <c:pt idx="4">
                    <c:v>11.450877925432525</c:v>
                  </c:pt>
                </c:numCache>
              </c:numRef>
            </c:minus>
            <c:spPr>
              <a:ln w="12700">
                <a:solidFill>
                  <a:srgbClr val="000000"/>
                </a:solidFill>
                <a:prstDash val="solid"/>
              </a:ln>
            </c:spPr>
          </c:errBars>
          <c:xVal>
            <c:numRef>
              <c:f>Sheet1!$W$23:$AA$23</c:f>
              <c:numCache>
                <c:formatCode>0.0</c:formatCode>
                <c:ptCount val="5"/>
                <c:pt idx="0">
                  <c:v>1.06</c:v>
                </c:pt>
                <c:pt idx="1">
                  <c:v>2.06</c:v>
                </c:pt>
                <c:pt idx="2">
                  <c:v>3.06</c:v>
                </c:pt>
                <c:pt idx="3">
                  <c:v>4.0599999999999996</c:v>
                </c:pt>
                <c:pt idx="4">
                  <c:v>5.0599999999999996</c:v>
                </c:pt>
              </c:numCache>
            </c:numRef>
          </c:xVal>
          <c:yVal>
            <c:numRef>
              <c:f>Sheet1!$W$24:$AA$24</c:f>
              <c:numCache>
                <c:formatCode>0.00</c:formatCode>
                <c:ptCount val="5"/>
                <c:pt idx="0">
                  <c:v>400.01</c:v>
                </c:pt>
                <c:pt idx="1">
                  <c:v>398.28000000000009</c:v>
                </c:pt>
                <c:pt idx="2">
                  <c:v>409.80999999999995</c:v>
                </c:pt>
                <c:pt idx="3">
                  <c:v>405.69500000000005</c:v>
                </c:pt>
                <c:pt idx="4">
                  <c:v>404.29499999999996</c:v>
                </c:pt>
              </c:numCache>
            </c:numRef>
          </c:yVal>
          <c:smooth val="0"/>
          <c:extLst>
            <c:ext xmlns:c16="http://schemas.microsoft.com/office/drawing/2014/chart" uri="{C3380CC4-5D6E-409C-BE32-E72D297353CC}">
              <c16:uniqueId val="{00000001-B45C-42AE-B5EC-656AACACE810}"/>
            </c:ext>
          </c:extLst>
        </c:ser>
        <c:dLbls>
          <c:showLegendKey val="0"/>
          <c:showVal val="0"/>
          <c:showCatName val="0"/>
          <c:showSerName val="0"/>
          <c:showPercent val="0"/>
          <c:showBubbleSize val="0"/>
        </c:dLbls>
        <c:axId val="67407872"/>
        <c:axId val="67409792"/>
      </c:scatterChart>
      <c:valAx>
        <c:axId val="67407872"/>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Time</a:t>
                </a:r>
              </a:p>
            </c:rich>
          </c:tx>
          <c:layout>
            <c:manualLayout>
              <c:xMode val="edge"/>
              <c:yMode val="edge"/>
              <c:x val="0.49570874192873127"/>
              <c:y val="0.9296174063147767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7409792"/>
        <c:crosses val="autoZero"/>
        <c:crossBetween val="midCat"/>
      </c:valAx>
      <c:valAx>
        <c:axId val="674097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7407872"/>
        <c:crosses val="autoZero"/>
        <c:crossBetween val="midCat"/>
      </c:valAx>
      <c:spPr>
        <a:solidFill>
          <a:srgbClr val="FFFFFF"/>
        </a:solidFill>
        <a:ln w="12700">
          <a:solidFill>
            <a:srgbClr val="808080"/>
          </a:solidFill>
          <a:prstDash val="solid"/>
        </a:ln>
      </c:spPr>
    </c:plotArea>
    <c:legend>
      <c:legendPos val="r"/>
      <c:layout>
        <c:manualLayout>
          <c:xMode val="edge"/>
          <c:yMode val="edge"/>
          <c:x val="0.56748466257668717"/>
          <c:y val="2.4464984329788966E-2"/>
          <c:w val="0.2310331223934432"/>
          <c:h val="0.11272470658148864"/>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a:t>
            </a:r>
          </a:p>
        </c:rich>
      </c:tx>
      <c:layout>
        <c:manualLayout>
          <c:xMode val="edge"/>
          <c:yMode val="edge"/>
          <c:x val="4.3307086614173228E-2"/>
          <c:y val="8.1301268064383522E-2"/>
        </c:manualLayout>
      </c:layout>
      <c:overlay val="0"/>
      <c:spPr>
        <a:noFill/>
        <a:ln w="25400">
          <a:noFill/>
        </a:ln>
      </c:spPr>
    </c:title>
    <c:autoTitleDeleted val="0"/>
    <c:plotArea>
      <c:layout>
        <c:manualLayout>
          <c:layoutTarget val="inner"/>
          <c:xMode val="edge"/>
          <c:yMode val="edge"/>
          <c:x val="0.15027982226601655"/>
          <c:y val="0.15443294878837821"/>
          <c:w val="0.82807249003723415"/>
          <c:h val="0.71315509979857172"/>
        </c:manualLayout>
      </c:layout>
      <c:scatterChart>
        <c:scatterStyle val="lineMarker"/>
        <c:varyColors val="0"/>
        <c:ser>
          <c:idx val="0"/>
          <c:order val="0"/>
          <c:tx>
            <c:strRef>
              <c:f>Sheet1!$V$30</c:f>
              <c:strCache>
                <c:ptCount val="1"/>
                <c:pt idx="0">
                  <c:v>Control</c:v>
                </c:pt>
              </c:strCache>
            </c:strRef>
          </c:tx>
          <c:spPr>
            <a:ln w="12700">
              <a:solidFill>
                <a:srgbClr val="000080"/>
              </a:solidFill>
              <a:prstDash val="solid"/>
            </a:ln>
          </c:spPr>
          <c:marker>
            <c:symbol val="circle"/>
            <c:size val="6"/>
            <c:spPr>
              <a:solidFill>
                <a:srgbClr val="3366FF"/>
              </a:solidFill>
              <a:ln>
                <a:solidFill>
                  <a:srgbClr val="000000"/>
                </a:solidFill>
                <a:prstDash val="solid"/>
              </a:ln>
            </c:spPr>
          </c:marker>
          <c:errBars>
            <c:errDir val="y"/>
            <c:errBarType val="both"/>
            <c:errValType val="cust"/>
            <c:noEndCap val="0"/>
            <c:plus>
              <c:numRef>
                <c:f>Sheet1!$W$33:$AA$33</c:f>
                <c:numCache>
                  <c:formatCode>General</c:formatCode>
                  <c:ptCount val="5"/>
                  <c:pt idx="0">
                    <c:v>7.1672286065833646</c:v>
                  </c:pt>
                  <c:pt idx="1">
                    <c:v>6.3236551572229587</c:v>
                  </c:pt>
                  <c:pt idx="2">
                    <c:v>6.4212187849462907</c:v>
                  </c:pt>
                  <c:pt idx="3">
                    <c:v>8.2293781654747704</c:v>
                  </c:pt>
                  <c:pt idx="4">
                    <c:v>6.4355373254990695</c:v>
                  </c:pt>
                </c:numCache>
              </c:numRef>
            </c:plus>
            <c:minus>
              <c:numRef>
                <c:f>Sheet1!$W$34:$AA$34</c:f>
                <c:numCache>
                  <c:formatCode>General</c:formatCode>
                  <c:ptCount val="5"/>
                  <c:pt idx="0">
                    <c:v>7.0412147864884673</c:v>
                  </c:pt>
                  <c:pt idx="1">
                    <c:v>6.2257655104791638</c:v>
                  </c:pt>
                  <c:pt idx="2">
                    <c:v>6.3206462944963846</c:v>
                  </c:pt>
                  <c:pt idx="3">
                    <c:v>8.0633283021697366</c:v>
                  </c:pt>
                  <c:pt idx="4">
                    <c:v>6.3335301209127124</c:v>
                  </c:pt>
                </c:numCache>
              </c:numRef>
            </c:minus>
            <c:spPr>
              <a:ln w="12700">
                <a:solidFill>
                  <a:srgbClr val="000000"/>
                </a:solidFill>
                <a:prstDash val="solid"/>
              </a:ln>
            </c:spPr>
          </c:errBars>
          <c:xVal>
            <c:numRef>
              <c:f>Sheet1!$W$31:$AA$31</c:f>
              <c:numCache>
                <c:formatCode>0.0</c:formatCode>
                <c:ptCount val="5"/>
                <c:pt idx="0">
                  <c:v>0.94</c:v>
                </c:pt>
                <c:pt idx="1">
                  <c:v>1.94</c:v>
                </c:pt>
                <c:pt idx="2">
                  <c:v>2.94</c:v>
                </c:pt>
                <c:pt idx="3">
                  <c:v>3.94</c:v>
                </c:pt>
                <c:pt idx="4">
                  <c:v>4.9400000000000004</c:v>
                </c:pt>
              </c:numCache>
            </c:numRef>
          </c:xVal>
          <c:yVal>
            <c:numRef>
              <c:f>Sheet1!$W$32:$AA$32</c:f>
              <c:numCache>
                <c:formatCode>0.0</c:formatCode>
                <c:ptCount val="5"/>
                <c:pt idx="0">
                  <c:v>400.47985216876685</c:v>
                </c:pt>
                <c:pt idx="1">
                  <c:v>402.18343295319113</c:v>
                </c:pt>
                <c:pt idx="2">
                  <c:v>403.55222921947194</c:v>
                </c:pt>
                <c:pt idx="3">
                  <c:v>399.61597408271734</c:v>
                </c:pt>
                <c:pt idx="4">
                  <c:v>399.57637953717125</c:v>
                </c:pt>
              </c:numCache>
            </c:numRef>
          </c:yVal>
          <c:smooth val="0"/>
          <c:extLst>
            <c:ext xmlns:c16="http://schemas.microsoft.com/office/drawing/2014/chart" uri="{C3380CC4-5D6E-409C-BE32-E72D297353CC}">
              <c16:uniqueId val="{00000000-3E16-49D7-AE00-488856B67B38}"/>
            </c:ext>
          </c:extLst>
        </c:ser>
        <c:ser>
          <c:idx val="1"/>
          <c:order val="1"/>
          <c:tx>
            <c:strRef>
              <c:f>Sheet1!$V$35</c:f>
              <c:strCache>
                <c:ptCount val="1"/>
                <c:pt idx="0">
                  <c:v>Exptal</c:v>
                </c:pt>
              </c:strCache>
            </c:strRef>
          </c:tx>
          <c:spPr>
            <a:ln w="12700">
              <a:solidFill>
                <a:srgbClr val="FF00FF"/>
              </a:solidFill>
              <a:prstDash val="solid"/>
            </a:ln>
          </c:spPr>
          <c:marker>
            <c:symbol val="triangle"/>
            <c:size val="6"/>
            <c:spPr>
              <a:solidFill>
                <a:srgbClr val="FF0000"/>
              </a:solidFill>
              <a:ln>
                <a:solidFill>
                  <a:srgbClr val="000000"/>
                </a:solidFill>
                <a:prstDash val="solid"/>
              </a:ln>
            </c:spPr>
          </c:marker>
          <c:errBars>
            <c:errDir val="y"/>
            <c:errBarType val="both"/>
            <c:errValType val="cust"/>
            <c:noEndCap val="0"/>
            <c:plus>
              <c:numRef>
                <c:f>Sheet1!$W$38:$AA$38</c:f>
                <c:numCache>
                  <c:formatCode>General</c:formatCode>
                  <c:ptCount val="5"/>
                  <c:pt idx="0">
                    <c:v>5.8191359741567226</c:v>
                  </c:pt>
                  <c:pt idx="1">
                    <c:v>6.1623489094491788</c:v>
                  </c:pt>
                  <c:pt idx="2">
                    <c:v>10.261167300934346</c:v>
                  </c:pt>
                  <c:pt idx="3">
                    <c:v>12.483065711175243</c:v>
                  </c:pt>
                  <c:pt idx="4">
                    <c:v>11.67396741909846</c:v>
                  </c:pt>
                </c:numCache>
              </c:numRef>
            </c:plus>
            <c:minus>
              <c:numRef>
                <c:f>Sheet1!$W$39:$AA$39</c:f>
                <c:numCache>
                  <c:formatCode>General</c:formatCode>
                  <c:ptCount val="5"/>
                  <c:pt idx="0">
                    <c:v>5.7356879427569538</c:v>
                  </c:pt>
                  <c:pt idx="1">
                    <c:v>6.0684449530826328</c:v>
                  </c:pt>
                  <c:pt idx="2">
                    <c:v>10.010444206175293</c:v>
                  </c:pt>
                  <c:pt idx="3">
                    <c:v>12.110273254788922</c:v>
                  </c:pt>
                  <c:pt idx="4">
                    <c:v>11.346220960300116</c:v>
                  </c:pt>
                </c:numCache>
              </c:numRef>
            </c:minus>
            <c:spPr>
              <a:ln w="12700">
                <a:solidFill>
                  <a:srgbClr val="000000"/>
                </a:solidFill>
                <a:prstDash val="solid"/>
              </a:ln>
            </c:spPr>
          </c:errBars>
          <c:xVal>
            <c:numRef>
              <c:f>Sheet1!$W$36:$AA$36</c:f>
              <c:numCache>
                <c:formatCode>0.0</c:formatCode>
                <c:ptCount val="5"/>
                <c:pt idx="0">
                  <c:v>1.06</c:v>
                </c:pt>
                <c:pt idx="1">
                  <c:v>2.06</c:v>
                </c:pt>
                <c:pt idx="2">
                  <c:v>3.06</c:v>
                </c:pt>
                <c:pt idx="3">
                  <c:v>4.0599999999999996</c:v>
                </c:pt>
                <c:pt idx="4">
                  <c:v>5.0599999999999996</c:v>
                </c:pt>
              </c:numCache>
            </c:numRef>
          </c:xVal>
          <c:yVal>
            <c:numRef>
              <c:f>Sheet1!$W$37:$AA$37</c:f>
              <c:numCache>
                <c:formatCode>0.0</c:formatCode>
                <c:ptCount val="5"/>
                <c:pt idx="0">
                  <c:v>399.97046646109879</c:v>
                </c:pt>
                <c:pt idx="1">
                  <c:v>398.23535222216032</c:v>
                </c:pt>
                <c:pt idx="2">
                  <c:v>409.69039112628769</c:v>
                </c:pt>
                <c:pt idx="3">
                  <c:v>405.51608335968922</c:v>
                </c:pt>
                <c:pt idx="4">
                  <c:v>404.13987783753089</c:v>
                </c:pt>
              </c:numCache>
            </c:numRef>
          </c:yVal>
          <c:smooth val="0"/>
          <c:extLst>
            <c:ext xmlns:c16="http://schemas.microsoft.com/office/drawing/2014/chart" uri="{C3380CC4-5D6E-409C-BE32-E72D297353CC}">
              <c16:uniqueId val="{00000001-3E16-49D7-AE00-488856B67B38}"/>
            </c:ext>
          </c:extLst>
        </c:ser>
        <c:dLbls>
          <c:showLegendKey val="0"/>
          <c:showVal val="0"/>
          <c:showCatName val="0"/>
          <c:showSerName val="0"/>
          <c:showPercent val="0"/>
          <c:showBubbleSize val="0"/>
        </c:dLbls>
        <c:axId val="205647872"/>
        <c:axId val="205649792"/>
      </c:scatterChart>
      <c:valAx>
        <c:axId val="205647872"/>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Time</a:t>
                </a:r>
              </a:p>
            </c:rich>
          </c:tx>
          <c:layout>
            <c:manualLayout>
              <c:xMode val="edge"/>
              <c:yMode val="edge"/>
              <c:x val="0.50276154131040363"/>
              <c:y val="0.9369484236157227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05649792"/>
        <c:crosses val="autoZero"/>
        <c:crossBetween val="midCat"/>
      </c:valAx>
      <c:valAx>
        <c:axId val="205649792"/>
        <c:scaling>
          <c:logBase val="2"/>
          <c:orientation val="minMax"/>
        </c:scaling>
        <c:delete val="0"/>
        <c:axPos val="l"/>
        <c:numFmt formatCode="0" sourceLinked="0"/>
        <c:majorTickMark val="out"/>
        <c:minorTickMark val="out"/>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05647872"/>
        <c:crosses val="autoZero"/>
        <c:crossBetween val="midCat"/>
      </c:valAx>
      <c:spPr>
        <a:solidFill>
          <a:srgbClr val="FFFFFF"/>
        </a:solidFill>
        <a:ln w="12700">
          <a:solidFill>
            <a:srgbClr val="808080"/>
          </a:solidFill>
          <a:prstDash val="solid"/>
        </a:ln>
      </c:spPr>
    </c:plotArea>
    <c:legend>
      <c:legendPos val="r"/>
      <c:layout>
        <c:manualLayout>
          <c:xMode val="edge"/>
          <c:yMode val="edge"/>
          <c:x val="0.43558282208588961"/>
          <c:y val="2.7523321632988648E-2"/>
          <c:w val="0.2310331223934432"/>
          <c:h val="0.10242639850741547"/>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a:t>
            </a:r>
          </a:p>
        </c:rich>
      </c:tx>
      <c:layout>
        <c:manualLayout>
          <c:xMode val="edge"/>
          <c:yMode val="edge"/>
          <c:x val="1.968503937007874E-2"/>
          <c:y val="8.5366395732791464E-2"/>
        </c:manualLayout>
      </c:layout>
      <c:overlay val="0"/>
      <c:spPr>
        <a:noFill/>
        <a:ln w="25400">
          <a:noFill/>
        </a:ln>
      </c:spPr>
    </c:title>
    <c:autoTitleDeleted val="0"/>
    <c:plotArea>
      <c:layout>
        <c:manualLayout>
          <c:layoutTarget val="inner"/>
          <c:xMode val="edge"/>
          <c:yMode val="edge"/>
          <c:x val="0.18110236220472442"/>
          <c:y val="0.18873702745280618"/>
          <c:w val="0.79133858267716539"/>
          <c:h val="0.66248402962369457"/>
        </c:manualLayout>
      </c:layout>
      <c:lineChart>
        <c:grouping val="standard"/>
        <c:varyColors val="0"/>
        <c:ser>
          <c:idx val="0"/>
          <c:order val="0"/>
          <c:tx>
            <c:strRef>
              <c:f>'Time-series deltas'!$R$6</c:f>
              <c:strCache>
                <c:ptCount val="1"/>
                <c:pt idx="0">
                  <c:v>Control</c:v>
                </c:pt>
              </c:strCache>
            </c:strRef>
          </c:tx>
          <c:spPr>
            <a:ln w="3175">
              <a:solidFill>
                <a:srgbClr val="3366FF"/>
              </a:solidFill>
              <a:prstDash val="solid"/>
            </a:ln>
          </c:spPr>
          <c:marker>
            <c:symbol val="circle"/>
            <c:size val="6"/>
            <c:spPr>
              <a:solidFill>
                <a:srgbClr val="3366FF"/>
              </a:solidFill>
              <a:ln>
                <a:solidFill>
                  <a:srgbClr val="000000"/>
                </a:solidFill>
                <a:prstDash val="solid"/>
              </a:ln>
            </c:spPr>
          </c:marker>
          <c:errBars>
            <c:errDir val="y"/>
            <c:errBarType val="both"/>
            <c:errValType val="cust"/>
            <c:noEndCap val="0"/>
            <c:plus>
              <c:numRef>
                <c:f>'Time-series deltas'!$S$9:$W$9</c:f>
                <c:numCache>
                  <c:formatCode>General</c:formatCode>
                  <c:ptCount val="5"/>
                  <c:pt idx="0">
                    <c:v>0</c:v>
                  </c:pt>
                  <c:pt idx="1">
                    <c:v>0</c:v>
                  </c:pt>
                  <c:pt idx="2">
                    <c:v>5.4677066297922083</c:v>
                  </c:pt>
                  <c:pt idx="3">
                    <c:v>7.3792489990156529</c:v>
                  </c:pt>
                  <c:pt idx="4">
                    <c:v>6.0228643299382121</c:v>
                  </c:pt>
                </c:numCache>
              </c:numRef>
            </c:plus>
            <c:minus>
              <c:numRef>
                <c:f>'Time-series deltas'!$S$10:$W$10</c:f>
                <c:numCache>
                  <c:formatCode>General</c:formatCode>
                  <c:ptCount val="5"/>
                  <c:pt idx="0">
                    <c:v>0</c:v>
                  </c:pt>
                  <c:pt idx="1">
                    <c:v>0</c:v>
                  </c:pt>
                  <c:pt idx="2">
                    <c:v>5.4677066297922083</c:v>
                  </c:pt>
                  <c:pt idx="3">
                    <c:v>7.3792489990156529</c:v>
                  </c:pt>
                  <c:pt idx="4">
                    <c:v>6.0228643299382121</c:v>
                  </c:pt>
                </c:numCache>
              </c:numRef>
            </c:minus>
            <c:spPr>
              <a:ln w="12700">
                <a:solidFill>
                  <a:srgbClr val="000000"/>
                </a:solidFill>
                <a:prstDash val="solid"/>
              </a:ln>
            </c:spPr>
          </c:errBars>
          <c:cat>
            <c:strRef>
              <c:f>'Time-series deltas'!$S$5:$W$5</c:f>
              <c:strCache>
                <c:ptCount val="5"/>
                <c:pt idx="0">
                  <c:v>Pre1</c:v>
                </c:pt>
                <c:pt idx="1">
                  <c:v>Pre2</c:v>
                </c:pt>
                <c:pt idx="2">
                  <c:v>Post1</c:v>
                </c:pt>
                <c:pt idx="3">
                  <c:v>Post2</c:v>
                </c:pt>
                <c:pt idx="4">
                  <c:v>Post3</c:v>
                </c:pt>
              </c:strCache>
            </c:strRef>
          </c:cat>
          <c:val>
            <c:numRef>
              <c:f>'Time-series deltas'!$S$8:$W$8</c:f>
              <c:numCache>
                <c:formatCode>0.00</c:formatCode>
                <c:ptCount val="5"/>
                <c:pt idx="0">
                  <c:v>0</c:v>
                </c:pt>
                <c:pt idx="1">
                  <c:v>0</c:v>
                </c:pt>
                <c:pt idx="2">
                  <c:v>2.2150000000000034</c:v>
                </c:pt>
                <c:pt idx="3">
                  <c:v>-1.6900000000000006</c:v>
                </c:pt>
                <c:pt idx="4">
                  <c:v>-1.7599999999999938</c:v>
                </c:pt>
              </c:numCache>
            </c:numRef>
          </c:val>
          <c:smooth val="0"/>
          <c:extLst>
            <c:ext xmlns:c16="http://schemas.microsoft.com/office/drawing/2014/chart" uri="{C3380CC4-5D6E-409C-BE32-E72D297353CC}">
              <c16:uniqueId val="{00000000-08C4-4B14-BF2A-9B93CA3CE4E3}"/>
            </c:ext>
          </c:extLst>
        </c:ser>
        <c:ser>
          <c:idx val="1"/>
          <c:order val="1"/>
          <c:tx>
            <c:strRef>
              <c:f>'Time-series deltas'!$R$11</c:f>
              <c:strCache>
                <c:ptCount val="1"/>
                <c:pt idx="0">
                  <c:v>Exptal</c:v>
                </c:pt>
              </c:strCache>
            </c:strRef>
          </c:tx>
          <c:spPr>
            <a:ln w="3175">
              <a:solidFill>
                <a:srgbClr val="FF0000"/>
              </a:solidFill>
              <a:prstDash val="solid"/>
            </a:ln>
          </c:spPr>
          <c:marker>
            <c:symbol val="triangle"/>
            <c:size val="6"/>
            <c:spPr>
              <a:solidFill>
                <a:srgbClr val="FF0000"/>
              </a:solidFill>
              <a:ln>
                <a:solidFill>
                  <a:srgbClr val="000000"/>
                </a:solidFill>
                <a:prstDash val="solid"/>
              </a:ln>
            </c:spPr>
          </c:marker>
          <c:errBars>
            <c:errDir val="y"/>
            <c:errBarType val="both"/>
            <c:errValType val="cust"/>
            <c:noEndCap val="0"/>
            <c:plus>
              <c:numRef>
                <c:f>'Time-series deltas'!$S$14:$W$14</c:f>
                <c:numCache>
                  <c:formatCode>General</c:formatCode>
                  <c:ptCount val="5"/>
                  <c:pt idx="0">
                    <c:v>0</c:v>
                  </c:pt>
                  <c:pt idx="1">
                    <c:v>0</c:v>
                  </c:pt>
                  <c:pt idx="2">
                    <c:v>8.5332183723067647</c:v>
                  </c:pt>
                  <c:pt idx="3">
                    <c:v>12.765238571584696</c:v>
                  </c:pt>
                  <c:pt idx="4">
                    <c:v>11.344613839082163</c:v>
                  </c:pt>
                </c:numCache>
              </c:numRef>
            </c:plus>
            <c:minus>
              <c:numRef>
                <c:f>'Time-series deltas'!$S$15:$W$15</c:f>
                <c:numCache>
                  <c:formatCode>General</c:formatCode>
                  <c:ptCount val="5"/>
                  <c:pt idx="0">
                    <c:v>0</c:v>
                  </c:pt>
                  <c:pt idx="1">
                    <c:v>0</c:v>
                  </c:pt>
                  <c:pt idx="2">
                    <c:v>8.5332183723067647</c:v>
                  </c:pt>
                  <c:pt idx="3">
                    <c:v>12.765238571584696</c:v>
                  </c:pt>
                  <c:pt idx="4">
                    <c:v>11.344613839082163</c:v>
                  </c:pt>
                </c:numCache>
              </c:numRef>
            </c:minus>
            <c:spPr>
              <a:ln w="12700">
                <a:solidFill>
                  <a:srgbClr val="000000"/>
                </a:solidFill>
                <a:prstDash val="solid"/>
              </a:ln>
            </c:spPr>
          </c:errBars>
          <c:cat>
            <c:strRef>
              <c:f>'Time-series deltas'!$S$5:$W$5</c:f>
              <c:strCache>
                <c:ptCount val="5"/>
                <c:pt idx="0">
                  <c:v>Pre1</c:v>
                </c:pt>
                <c:pt idx="1">
                  <c:v>Pre2</c:v>
                </c:pt>
                <c:pt idx="2">
                  <c:v>Post1</c:v>
                </c:pt>
                <c:pt idx="3">
                  <c:v>Post2</c:v>
                </c:pt>
                <c:pt idx="4">
                  <c:v>Post3</c:v>
                </c:pt>
              </c:strCache>
            </c:strRef>
          </c:cat>
          <c:val>
            <c:numRef>
              <c:f>'Time-series deltas'!$S$13:$W$13</c:f>
              <c:numCache>
                <c:formatCode>0.00</c:formatCode>
                <c:ptCount val="5"/>
                <c:pt idx="0">
                  <c:v>0</c:v>
                </c:pt>
                <c:pt idx="1">
                  <c:v>0</c:v>
                </c:pt>
                <c:pt idx="2">
                  <c:v>10.66500000000001</c:v>
                </c:pt>
                <c:pt idx="3">
                  <c:v>6.5500000000000114</c:v>
                </c:pt>
                <c:pt idx="4">
                  <c:v>5.1500000000000083</c:v>
                </c:pt>
              </c:numCache>
            </c:numRef>
          </c:val>
          <c:smooth val="0"/>
          <c:extLst>
            <c:ext xmlns:c16="http://schemas.microsoft.com/office/drawing/2014/chart" uri="{C3380CC4-5D6E-409C-BE32-E72D297353CC}">
              <c16:uniqueId val="{00000001-08C4-4B14-BF2A-9B93CA3CE4E3}"/>
            </c:ext>
          </c:extLst>
        </c:ser>
        <c:dLbls>
          <c:showLegendKey val="0"/>
          <c:showVal val="0"/>
          <c:showCatName val="0"/>
          <c:showSerName val="0"/>
          <c:showPercent val="0"/>
          <c:showBubbleSize val="0"/>
        </c:dLbls>
        <c:marker val="1"/>
        <c:smooth val="0"/>
        <c:axId val="210841984"/>
        <c:axId val="210843904"/>
      </c:lineChart>
      <c:catAx>
        <c:axId val="210841984"/>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Trial</a:t>
                </a:r>
              </a:p>
            </c:rich>
          </c:tx>
          <c:layout>
            <c:manualLayout>
              <c:xMode val="edge"/>
              <c:yMode val="edge"/>
              <c:x val="0.50593369080398687"/>
              <c:y val="0.92532067564135123"/>
            </c:manualLayout>
          </c:layout>
          <c:overlay val="0"/>
          <c:spPr>
            <a:noFill/>
            <a:ln w="25400">
              <a:noFill/>
            </a:ln>
          </c:spPr>
        </c:title>
        <c:numFmt formatCode="General" sourceLinked="1"/>
        <c:majorTickMark val="out"/>
        <c:minorTickMark val="none"/>
        <c:tickLblPos val="low"/>
        <c:spPr>
          <a:ln w="3175">
            <a:solidFill>
              <a:srgbClr val="000000"/>
            </a:solidFill>
            <a:prstDash val="solid"/>
          </a:ln>
        </c:spPr>
        <c:crossAx val="210843904"/>
        <c:crossesAt val="0"/>
        <c:auto val="1"/>
        <c:lblAlgn val="ctr"/>
        <c:lblOffset val="100"/>
        <c:tickMarkSkip val="1"/>
        <c:noMultiLvlLbl val="0"/>
      </c:catAx>
      <c:valAx>
        <c:axId val="2108439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0841984"/>
        <c:crossesAt val="0"/>
        <c:crossBetween val="between"/>
      </c:valAx>
      <c:spPr>
        <a:solidFill>
          <a:srgbClr val="FFFFFF"/>
        </a:solidFill>
        <a:ln w="12700">
          <a:solidFill>
            <a:srgbClr val="808080"/>
          </a:solidFill>
          <a:prstDash val="solid"/>
        </a:ln>
      </c:spPr>
    </c:plotArea>
    <c:legend>
      <c:legendPos val="r"/>
      <c:layout>
        <c:manualLayout>
          <c:xMode val="edge"/>
          <c:yMode val="edge"/>
          <c:x val="0.56748466257668717"/>
          <c:y val="2.4464835040781195E-2"/>
          <c:w val="0.2310331223934432"/>
          <c:h val="0.11151257302514606"/>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 (factor)</a:t>
            </a:r>
          </a:p>
        </c:rich>
      </c:tx>
      <c:layout>
        <c:manualLayout>
          <c:xMode val="edge"/>
          <c:yMode val="edge"/>
          <c:x val="3.8194612176545413E-2"/>
          <c:y val="6.9536822603056977E-2"/>
        </c:manualLayout>
      </c:layout>
      <c:overlay val="0"/>
      <c:spPr>
        <a:noFill/>
        <a:ln w="25400">
          <a:noFill/>
        </a:ln>
      </c:spPr>
    </c:title>
    <c:autoTitleDeleted val="0"/>
    <c:plotArea>
      <c:layout>
        <c:manualLayout>
          <c:layoutTarget val="inner"/>
          <c:xMode val="edge"/>
          <c:yMode val="edge"/>
          <c:x val="0.15027977714442137"/>
          <c:y val="0.13396246250923363"/>
          <c:w val="0.82807249003723415"/>
          <c:h val="0.72980059807228492"/>
        </c:manualLayout>
      </c:layout>
      <c:lineChart>
        <c:grouping val="standard"/>
        <c:varyColors val="0"/>
        <c:ser>
          <c:idx val="0"/>
          <c:order val="0"/>
          <c:tx>
            <c:strRef>
              <c:f>'Time-series deltas'!$R$20</c:f>
              <c:strCache>
                <c:ptCount val="1"/>
                <c:pt idx="0">
                  <c:v>Control</c:v>
                </c:pt>
              </c:strCache>
            </c:strRef>
          </c:tx>
          <c:spPr>
            <a:ln w="12700">
              <a:solidFill>
                <a:srgbClr val="3366FF"/>
              </a:solidFill>
              <a:prstDash val="solid"/>
            </a:ln>
          </c:spPr>
          <c:marker>
            <c:symbol val="circle"/>
            <c:size val="6"/>
            <c:spPr>
              <a:solidFill>
                <a:srgbClr val="3366FF"/>
              </a:solidFill>
              <a:ln>
                <a:solidFill>
                  <a:srgbClr val="000000"/>
                </a:solidFill>
                <a:prstDash val="solid"/>
              </a:ln>
            </c:spPr>
          </c:marker>
          <c:errBars>
            <c:errDir val="y"/>
            <c:errBarType val="both"/>
            <c:errValType val="cust"/>
            <c:noEndCap val="0"/>
            <c:plus>
              <c:numRef>
                <c:f>'Time-series deltas'!$S$23:$W$23</c:f>
                <c:numCache>
                  <c:formatCode>General</c:formatCode>
                  <c:ptCount val="5"/>
                  <c:pt idx="0">
                    <c:v>0</c:v>
                  </c:pt>
                  <c:pt idx="1">
                    <c:v>0</c:v>
                  </c:pt>
                  <c:pt idx="2">
                    <c:v>1.3730067925389333E-2</c:v>
                  </c:pt>
                  <c:pt idx="3">
                    <c:v>1.8574921869091154E-2</c:v>
                  </c:pt>
                  <c:pt idx="4">
                    <c:v>1.5078371823482706E-2</c:v>
                  </c:pt>
                </c:numCache>
              </c:numRef>
            </c:plus>
            <c:minus>
              <c:numRef>
                <c:f>'Time-series deltas'!$S$24:$W$24</c:f>
                <c:numCache>
                  <c:formatCode>General</c:formatCode>
                  <c:ptCount val="5"/>
                  <c:pt idx="0">
                    <c:v>0</c:v>
                  </c:pt>
                  <c:pt idx="1">
                    <c:v>0</c:v>
                  </c:pt>
                  <c:pt idx="2">
                    <c:v>1.3545116322918549E-2</c:v>
                  </c:pt>
                  <c:pt idx="3">
                    <c:v>1.8234759229291075E-2</c:v>
                  </c:pt>
                  <c:pt idx="4">
                    <c:v>1.4853423056882198E-2</c:v>
                  </c:pt>
                </c:numCache>
              </c:numRef>
            </c:minus>
            <c:spPr>
              <a:ln w="12700">
                <a:solidFill>
                  <a:srgbClr val="000000"/>
                </a:solidFill>
                <a:prstDash val="solid"/>
              </a:ln>
            </c:spPr>
          </c:errBars>
          <c:cat>
            <c:strRef>
              <c:f>'Time-series deltas'!$S$19:$W$19</c:f>
              <c:strCache>
                <c:ptCount val="5"/>
                <c:pt idx="0">
                  <c:v>Pre1</c:v>
                </c:pt>
                <c:pt idx="1">
                  <c:v>Pre2</c:v>
                </c:pt>
                <c:pt idx="2">
                  <c:v>Post1</c:v>
                </c:pt>
                <c:pt idx="3">
                  <c:v>Post2</c:v>
                </c:pt>
                <c:pt idx="4">
                  <c:v>Post3</c:v>
                </c:pt>
              </c:strCache>
            </c:strRef>
          </c:cat>
          <c:val>
            <c:numRef>
              <c:f>'Time-series deltas'!$S$22:$W$22</c:f>
              <c:numCache>
                <c:formatCode>0.00</c:formatCode>
                <c:ptCount val="5"/>
                <c:pt idx="0">
                  <c:v>1</c:v>
                </c:pt>
                <c:pt idx="1">
                  <c:v>1</c:v>
                </c:pt>
                <c:pt idx="2">
                  <c:v>1.005535311327991</c:v>
                </c:pt>
                <c:pt idx="3">
                  <c:v>0.99572730322440894</c:v>
                </c:pt>
                <c:pt idx="4">
                  <c:v>0.99562864508105087</c:v>
                </c:pt>
              </c:numCache>
            </c:numRef>
          </c:val>
          <c:smooth val="0"/>
          <c:extLst>
            <c:ext xmlns:c16="http://schemas.microsoft.com/office/drawing/2014/chart" uri="{C3380CC4-5D6E-409C-BE32-E72D297353CC}">
              <c16:uniqueId val="{00000000-F099-4986-BD17-5E5806DAAEAA}"/>
            </c:ext>
          </c:extLst>
        </c:ser>
        <c:ser>
          <c:idx val="1"/>
          <c:order val="1"/>
          <c:tx>
            <c:strRef>
              <c:f>'Time-series deltas'!$R$25</c:f>
              <c:strCache>
                <c:ptCount val="1"/>
                <c:pt idx="0">
                  <c:v>Exptal</c:v>
                </c:pt>
              </c:strCache>
            </c:strRef>
          </c:tx>
          <c:spPr>
            <a:ln w="12700">
              <a:solidFill>
                <a:srgbClr val="FF0000"/>
              </a:solidFill>
              <a:prstDash val="solid"/>
            </a:ln>
          </c:spPr>
          <c:marker>
            <c:symbol val="triangle"/>
            <c:size val="6"/>
            <c:spPr>
              <a:solidFill>
                <a:srgbClr val="FF0000"/>
              </a:solidFill>
              <a:ln>
                <a:solidFill>
                  <a:srgbClr val="000000"/>
                </a:solidFill>
                <a:prstDash val="solid"/>
              </a:ln>
            </c:spPr>
          </c:marker>
          <c:errBars>
            <c:errDir val="y"/>
            <c:errBarType val="both"/>
            <c:errValType val="cust"/>
            <c:noEndCap val="0"/>
            <c:plus>
              <c:numRef>
                <c:f>'Time-series deltas'!$S$28:$W$28</c:f>
                <c:numCache>
                  <c:formatCode>General</c:formatCode>
                  <c:ptCount val="5"/>
                  <c:pt idx="0">
                    <c:v>0</c:v>
                  </c:pt>
                  <c:pt idx="1">
                    <c:v>0</c:v>
                  </c:pt>
                  <c:pt idx="2">
                    <c:v>2.1418359556059752E-2</c:v>
                  </c:pt>
                  <c:pt idx="3">
                    <c:v>3.2065855385960296E-2</c:v>
                  </c:pt>
                  <c:pt idx="4">
                    <c:v>2.9080908047923293E-2</c:v>
                  </c:pt>
                </c:numCache>
              </c:numRef>
            </c:plus>
            <c:minus>
              <c:numRef>
                <c:f>'Time-series deltas'!$S$29:$W$29</c:f>
                <c:numCache>
                  <c:formatCode>General</c:formatCode>
                  <c:ptCount val="5"/>
                  <c:pt idx="0">
                    <c:v>0</c:v>
                  </c:pt>
                  <c:pt idx="1">
                    <c:v>0</c:v>
                  </c:pt>
                  <c:pt idx="2">
                    <c:v>2.0980603393583985E-2</c:v>
                  </c:pt>
                  <c:pt idx="3">
                    <c:v>3.1084858763725909E-2</c:v>
                  </c:pt>
                  <c:pt idx="4">
                    <c:v>2.8269065920689673E-2</c:v>
                  </c:pt>
                </c:numCache>
              </c:numRef>
            </c:minus>
            <c:spPr>
              <a:ln w="12700">
                <a:solidFill>
                  <a:srgbClr val="000000"/>
                </a:solidFill>
                <a:prstDash val="solid"/>
              </a:ln>
            </c:spPr>
          </c:errBars>
          <c:cat>
            <c:strRef>
              <c:f>'Time-series deltas'!$S$19:$W$19</c:f>
              <c:strCache>
                <c:ptCount val="5"/>
                <c:pt idx="0">
                  <c:v>Pre1</c:v>
                </c:pt>
                <c:pt idx="1">
                  <c:v>Pre2</c:v>
                </c:pt>
                <c:pt idx="2">
                  <c:v>Post1</c:v>
                </c:pt>
                <c:pt idx="3">
                  <c:v>Post2</c:v>
                </c:pt>
                <c:pt idx="4">
                  <c:v>Post3</c:v>
                </c:pt>
              </c:strCache>
            </c:strRef>
          </c:cat>
          <c:val>
            <c:numRef>
              <c:f>'Time-series deltas'!$S$27:$W$27</c:f>
              <c:numCache>
                <c:formatCode>0.00</c:formatCode>
                <c:ptCount val="5"/>
                <c:pt idx="0">
                  <c:v>1</c:v>
                </c:pt>
                <c:pt idx="1">
                  <c:v>1</c:v>
                </c:pt>
                <c:pt idx="2">
                  <c:v>1.0265306252811652</c:v>
                </c:pt>
                <c:pt idx="3">
                  <c:v>1.0160713739670635</c:v>
                </c:pt>
                <c:pt idx="4">
                  <c:v>1.012623118538635</c:v>
                </c:pt>
              </c:numCache>
            </c:numRef>
          </c:val>
          <c:smooth val="0"/>
          <c:extLst>
            <c:ext xmlns:c16="http://schemas.microsoft.com/office/drawing/2014/chart" uri="{C3380CC4-5D6E-409C-BE32-E72D297353CC}">
              <c16:uniqueId val="{00000001-F099-4986-BD17-5E5806DAAEAA}"/>
            </c:ext>
          </c:extLst>
        </c:ser>
        <c:dLbls>
          <c:showLegendKey val="0"/>
          <c:showVal val="0"/>
          <c:showCatName val="0"/>
          <c:showSerName val="0"/>
          <c:showPercent val="0"/>
          <c:showBubbleSize val="0"/>
        </c:dLbls>
        <c:marker val="1"/>
        <c:smooth val="0"/>
        <c:axId val="211095936"/>
        <c:axId val="211097856"/>
      </c:lineChart>
      <c:catAx>
        <c:axId val="211095936"/>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Trial</a:t>
                </a:r>
              </a:p>
            </c:rich>
          </c:tx>
          <c:layout>
            <c:manualLayout>
              <c:xMode val="edge"/>
              <c:yMode val="edge"/>
              <c:x val="0.47719916912226462"/>
              <c:y val="0.92961786336113927"/>
            </c:manualLayout>
          </c:layout>
          <c:overlay val="0"/>
          <c:spPr>
            <a:noFill/>
            <a:ln w="25400">
              <a:noFill/>
            </a:ln>
          </c:spPr>
        </c:title>
        <c:numFmt formatCode="General" sourceLinked="1"/>
        <c:majorTickMark val="out"/>
        <c:minorTickMark val="none"/>
        <c:tickLblPos val="low"/>
        <c:spPr>
          <a:ln w="3175">
            <a:solidFill>
              <a:srgbClr val="000000"/>
            </a:solidFill>
            <a:prstDash val="solid"/>
          </a:ln>
        </c:spPr>
        <c:crossAx val="211097856"/>
        <c:crossesAt val="1"/>
        <c:auto val="1"/>
        <c:lblAlgn val="ctr"/>
        <c:lblOffset val="100"/>
        <c:tickMarkSkip val="1"/>
        <c:noMultiLvlLbl val="0"/>
      </c:catAx>
      <c:valAx>
        <c:axId val="211097856"/>
        <c:scaling>
          <c:logBase val="2"/>
          <c:orientation val="minMax"/>
        </c:scaling>
        <c:delete val="0"/>
        <c:axPos val="l"/>
        <c:numFmt formatCode="0.0" sourceLinked="0"/>
        <c:majorTickMark val="out"/>
        <c:minorTickMark val="out"/>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1095936"/>
        <c:crosses val="autoZero"/>
        <c:crossBetween val="between"/>
      </c:valAx>
      <c:spPr>
        <a:solidFill>
          <a:srgbClr val="FFFFFF"/>
        </a:solidFill>
        <a:ln w="12700">
          <a:solidFill>
            <a:srgbClr val="808080"/>
          </a:solidFill>
          <a:prstDash val="solid"/>
        </a:ln>
      </c:spPr>
    </c:plotArea>
    <c:legend>
      <c:legendPos val="r"/>
      <c:layout>
        <c:manualLayout>
          <c:xMode val="edge"/>
          <c:yMode val="edge"/>
          <c:x val="0.48670756646216767"/>
          <c:y val="2.752292728114868E-2"/>
          <c:w val="0.33328261114599933"/>
          <c:h val="0.10293456511005433"/>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a:t>
            </a:r>
          </a:p>
        </c:rich>
      </c:tx>
      <c:layout>
        <c:manualLayout>
          <c:xMode val="edge"/>
          <c:yMode val="edge"/>
          <c:x val="1.968503937007874E-2"/>
          <c:y val="8.5366923474188366E-2"/>
        </c:manualLayout>
      </c:layout>
      <c:overlay val="0"/>
      <c:spPr>
        <a:noFill/>
        <a:ln w="25400">
          <a:noFill/>
        </a:ln>
      </c:spPr>
    </c:title>
    <c:autoTitleDeleted val="0"/>
    <c:plotArea>
      <c:layout>
        <c:manualLayout>
          <c:layoutTarget val="inner"/>
          <c:xMode val="edge"/>
          <c:yMode val="edge"/>
          <c:x val="0.18110236220472442"/>
          <c:y val="0.17584568556223845"/>
          <c:w val="0.79133858267716539"/>
          <c:h val="0.6710782575507398"/>
        </c:manualLayout>
      </c:layout>
      <c:scatterChart>
        <c:scatterStyle val="lineMarker"/>
        <c:varyColors val="0"/>
        <c:ser>
          <c:idx val="0"/>
          <c:order val="0"/>
          <c:tx>
            <c:strRef>
              <c:f>'Time-series deltas'!$R$6</c:f>
              <c:strCache>
                <c:ptCount val="1"/>
                <c:pt idx="0">
                  <c:v>Control</c:v>
                </c:pt>
              </c:strCache>
            </c:strRef>
          </c:tx>
          <c:spPr>
            <a:ln w="3175">
              <a:solidFill>
                <a:srgbClr val="3366FF"/>
              </a:solidFill>
            </a:ln>
          </c:spPr>
          <c:marker>
            <c:symbol val="circle"/>
            <c:size val="6"/>
            <c:spPr>
              <a:solidFill>
                <a:srgbClr val="3366FF"/>
              </a:solidFill>
              <a:ln>
                <a:solidFill>
                  <a:srgbClr val="000000"/>
                </a:solidFill>
                <a:prstDash val="solid"/>
              </a:ln>
            </c:spPr>
          </c:marker>
          <c:errBars>
            <c:errDir val="y"/>
            <c:errBarType val="both"/>
            <c:errValType val="cust"/>
            <c:noEndCap val="0"/>
            <c:plus>
              <c:numRef>
                <c:f>'Time-series deltas'!$S$9:$W$9</c:f>
                <c:numCache>
                  <c:formatCode>General</c:formatCode>
                  <c:ptCount val="5"/>
                  <c:pt idx="0">
                    <c:v>0</c:v>
                  </c:pt>
                  <c:pt idx="1">
                    <c:v>0</c:v>
                  </c:pt>
                  <c:pt idx="2">
                    <c:v>5.4677066297922083</c:v>
                  </c:pt>
                  <c:pt idx="3">
                    <c:v>7.3792489990156529</c:v>
                  </c:pt>
                  <c:pt idx="4">
                    <c:v>6.0228643299382121</c:v>
                  </c:pt>
                </c:numCache>
              </c:numRef>
            </c:plus>
            <c:minus>
              <c:numRef>
                <c:f>'Time-series deltas'!$S$10:$W$10</c:f>
                <c:numCache>
                  <c:formatCode>General</c:formatCode>
                  <c:ptCount val="5"/>
                  <c:pt idx="0">
                    <c:v>0</c:v>
                  </c:pt>
                  <c:pt idx="1">
                    <c:v>0</c:v>
                  </c:pt>
                  <c:pt idx="2">
                    <c:v>5.4677066297922083</c:v>
                  </c:pt>
                  <c:pt idx="3">
                    <c:v>7.3792489990156529</c:v>
                  </c:pt>
                  <c:pt idx="4">
                    <c:v>6.0228643299382121</c:v>
                  </c:pt>
                </c:numCache>
              </c:numRef>
            </c:minus>
            <c:spPr>
              <a:ln w="12700">
                <a:solidFill>
                  <a:srgbClr val="000000"/>
                </a:solidFill>
                <a:prstDash val="solid"/>
              </a:ln>
            </c:spPr>
          </c:errBars>
          <c:xVal>
            <c:numRef>
              <c:f>'Time-series deltas'!$S$7:$W$7</c:f>
              <c:numCache>
                <c:formatCode>0.0</c:formatCode>
                <c:ptCount val="5"/>
                <c:pt idx="0">
                  <c:v>0.94</c:v>
                </c:pt>
                <c:pt idx="1">
                  <c:v>1.94</c:v>
                </c:pt>
                <c:pt idx="2">
                  <c:v>2.94</c:v>
                </c:pt>
                <c:pt idx="3">
                  <c:v>3.94</c:v>
                </c:pt>
                <c:pt idx="4">
                  <c:v>4.9400000000000004</c:v>
                </c:pt>
              </c:numCache>
            </c:numRef>
          </c:xVal>
          <c:yVal>
            <c:numRef>
              <c:f>'Time-series deltas'!$S$8:$W$8</c:f>
              <c:numCache>
                <c:formatCode>0.00</c:formatCode>
                <c:ptCount val="5"/>
                <c:pt idx="0">
                  <c:v>0</c:v>
                </c:pt>
                <c:pt idx="1">
                  <c:v>0</c:v>
                </c:pt>
                <c:pt idx="2">
                  <c:v>2.2150000000000034</c:v>
                </c:pt>
                <c:pt idx="3">
                  <c:v>-1.6900000000000006</c:v>
                </c:pt>
                <c:pt idx="4">
                  <c:v>-1.7599999999999938</c:v>
                </c:pt>
              </c:numCache>
            </c:numRef>
          </c:yVal>
          <c:smooth val="0"/>
          <c:extLst>
            <c:ext xmlns:c16="http://schemas.microsoft.com/office/drawing/2014/chart" uri="{C3380CC4-5D6E-409C-BE32-E72D297353CC}">
              <c16:uniqueId val="{00000000-4A73-4220-B46C-BF4E626F9328}"/>
            </c:ext>
          </c:extLst>
        </c:ser>
        <c:ser>
          <c:idx val="1"/>
          <c:order val="1"/>
          <c:tx>
            <c:strRef>
              <c:f>'Time-series deltas'!$R$11</c:f>
              <c:strCache>
                <c:ptCount val="1"/>
                <c:pt idx="0">
                  <c:v>Exptal</c:v>
                </c:pt>
              </c:strCache>
            </c:strRef>
          </c:tx>
          <c:spPr>
            <a:ln w="3175">
              <a:solidFill>
                <a:srgbClr val="FF0000"/>
              </a:solidFill>
            </a:ln>
          </c:spPr>
          <c:marker>
            <c:symbol val="triangle"/>
            <c:size val="6"/>
            <c:spPr>
              <a:solidFill>
                <a:srgbClr val="FF0000"/>
              </a:solidFill>
              <a:ln>
                <a:solidFill>
                  <a:srgbClr val="000000"/>
                </a:solidFill>
                <a:prstDash val="solid"/>
              </a:ln>
            </c:spPr>
          </c:marker>
          <c:errBars>
            <c:errDir val="y"/>
            <c:errBarType val="both"/>
            <c:errValType val="cust"/>
            <c:noEndCap val="0"/>
            <c:plus>
              <c:numRef>
                <c:f>'Time-series deltas'!$S$14:$W$14</c:f>
                <c:numCache>
                  <c:formatCode>General</c:formatCode>
                  <c:ptCount val="5"/>
                  <c:pt idx="0">
                    <c:v>0</c:v>
                  </c:pt>
                  <c:pt idx="1">
                    <c:v>0</c:v>
                  </c:pt>
                  <c:pt idx="2">
                    <c:v>8.5332183723067647</c:v>
                  </c:pt>
                  <c:pt idx="3">
                    <c:v>12.765238571584696</c:v>
                  </c:pt>
                  <c:pt idx="4">
                    <c:v>11.344613839082163</c:v>
                  </c:pt>
                </c:numCache>
              </c:numRef>
            </c:plus>
            <c:minus>
              <c:numRef>
                <c:f>'Time-series deltas'!$S$15:$W$15</c:f>
                <c:numCache>
                  <c:formatCode>General</c:formatCode>
                  <c:ptCount val="5"/>
                  <c:pt idx="0">
                    <c:v>0</c:v>
                  </c:pt>
                  <c:pt idx="1">
                    <c:v>0</c:v>
                  </c:pt>
                  <c:pt idx="2">
                    <c:v>8.5332183723067647</c:v>
                  </c:pt>
                  <c:pt idx="3">
                    <c:v>12.765238571584696</c:v>
                  </c:pt>
                  <c:pt idx="4">
                    <c:v>11.344613839082163</c:v>
                  </c:pt>
                </c:numCache>
              </c:numRef>
            </c:minus>
            <c:spPr>
              <a:ln w="12700">
                <a:solidFill>
                  <a:srgbClr val="000000"/>
                </a:solidFill>
                <a:prstDash val="solid"/>
              </a:ln>
            </c:spPr>
          </c:errBars>
          <c:xVal>
            <c:numRef>
              <c:f>'Time-series deltas'!$S$12:$W$12</c:f>
              <c:numCache>
                <c:formatCode>0.0</c:formatCode>
                <c:ptCount val="5"/>
                <c:pt idx="0">
                  <c:v>1.06</c:v>
                </c:pt>
                <c:pt idx="1">
                  <c:v>2.06</c:v>
                </c:pt>
                <c:pt idx="2">
                  <c:v>3.06</c:v>
                </c:pt>
                <c:pt idx="3">
                  <c:v>4.0599999999999996</c:v>
                </c:pt>
                <c:pt idx="4">
                  <c:v>5.0599999999999996</c:v>
                </c:pt>
              </c:numCache>
            </c:numRef>
          </c:xVal>
          <c:yVal>
            <c:numRef>
              <c:f>'Time-series deltas'!$S$13:$W$13</c:f>
              <c:numCache>
                <c:formatCode>0.00</c:formatCode>
                <c:ptCount val="5"/>
                <c:pt idx="0">
                  <c:v>0</c:v>
                </c:pt>
                <c:pt idx="1">
                  <c:v>0</c:v>
                </c:pt>
                <c:pt idx="2">
                  <c:v>10.66500000000001</c:v>
                </c:pt>
                <c:pt idx="3">
                  <c:v>6.5500000000000114</c:v>
                </c:pt>
                <c:pt idx="4">
                  <c:v>5.1500000000000083</c:v>
                </c:pt>
              </c:numCache>
            </c:numRef>
          </c:yVal>
          <c:smooth val="0"/>
          <c:extLst>
            <c:ext xmlns:c16="http://schemas.microsoft.com/office/drawing/2014/chart" uri="{C3380CC4-5D6E-409C-BE32-E72D297353CC}">
              <c16:uniqueId val="{00000001-4A73-4220-B46C-BF4E626F9328}"/>
            </c:ext>
          </c:extLst>
        </c:ser>
        <c:dLbls>
          <c:showLegendKey val="0"/>
          <c:showVal val="0"/>
          <c:showCatName val="0"/>
          <c:showSerName val="0"/>
          <c:showPercent val="0"/>
          <c:showBubbleSize val="0"/>
        </c:dLbls>
        <c:axId val="211120512"/>
        <c:axId val="211122432"/>
      </c:scatterChart>
      <c:valAx>
        <c:axId val="211120512"/>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Time</a:t>
                </a:r>
              </a:p>
            </c:rich>
          </c:tx>
          <c:layout>
            <c:manualLayout>
              <c:xMode val="edge"/>
              <c:yMode val="edge"/>
              <c:x val="0.49570874192873127"/>
              <c:y val="0.92961740631477674"/>
            </c:manualLayout>
          </c:layout>
          <c:overlay val="0"/>
          <c:spPr>
            <a:noFill/>
            <a:ln w="25400">
              <a:noFill/>
            </a:ln>
          </c:spPr>
        </c:title>
        <c:numFmt formatCode="0.0"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1122432"/>
        <c:crossesAt val="0"/>
        <c:crossBetween val="midCat"/>
      </c:valAx>
      <c:valAx>
        <c:axId val="21112243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1120512"/>
        <c:crosses val="autoZero"/>
        <c:crossBetween val="midCat"/>
      </c:valAx>
      <c:spPr>
        <a:solidFill>
          <a:srgbClr val="FFFFFF"/>
        </a:solidFill>
        <a:ln w="12700">
          <a:solidFill>
            <a:srgbClr val="808080"/>
          </a:solidFill>
          <a:prstDash val="solid"/>
        </a:ln>
      </c:spPr>
    </c:plotArea>
    <c:legend>
      <c:legendPos val="r"/>
      <c:layout>
        <c:manualLayout>
          <c:xMode val="edge"/>
          <c:yMode val="edge"/>
          <c:x val="0.56748466257668717"/>
          <c:y val="2.4464984329788966E-2"/>
          <c:w val="0.2310331223934432"/>
          <c:h val="0.11272470658148864"/>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 (factor)</a:t>
            </a:r>
          </a:p>
        </c:rich>
      </c:tx>
      <c:layout>
        <c:manualLayout>
          <c:xMode val="edge"/>
          <c:yMode val="edge"/>
          <c:x val="4.3307086614173228E-2"/>
          <c:y val="8.1301268064383522E-2"/>
        </c:manualLayout>
      </c:layout>
      <c:overlay val="0"/>
      <c:spPr>
        <a:noFill/>
        <a:ln w="25400">
          <a:noFill/>
        </a:ln>
      </c:spPr>
    </c:title>
    <c:autoTitleDeleted val="0"/>
    <c:plotArea>
      <c:layout>
        <c:manualLayout>
          <c:layoutTarget val="inner"/>
          <c:xMode val="edge"/>
          <c:yMode val="edge"/>
          <c:x val="0.15027982226601655"/>
          <c:y val="0.15443294878837821"/>
          <c:w val="0.82807249003723415"/>
          <c:h val="0.71315509979857172"/>
        </c:manualLayout>
      </c:layout>
      <c:scatterChart>
        <c:scatterStyle val="lineMarker"/>
        <c:varyColors val="0"/>
        <c:ser>
          <c:idx val="0"/>
          <c:order val="0"/>
          <c:tx>
            <c:strRef>
              <c:f>'Time-series deltas'!$R$20</c:f>
              <c:strCache>
                <c:ptCount val="1"/>
                <c:pt idx="0">
                  <c:v>Control</c:v>
                </c:pt>
              </c:strCache>
            </c:strRef>
          </c:tx>
          <c:spPr>
            <a:ln w="12700">
              <a:solidFill>
                <a:srgbClr val="000080"/>
              </a:solidFill>
              <a:prstDash val="solid"/>
            </a:ln>
          </c:spPr>
          <c:marker>
            <c:symbol val="circle"/>
            <c:size val="6"/>
            <c:spPr>
              <a:solidFill>
                <a:srgbClr val="3366FF"/>
              </a:solidFill>
              <a:ln>
                <a:solidFill>
                  <a:srgbClr val="000000"/>
                </a:solidFill>
                <a:prstDash val="solid"/>
              </a:ln>
            </c:spPr>
          </c:marker>
          <c:errBars>
            <c:errDir val="y"/>
            <c:errBarType val="both"/>
            <c:errValType val="cust"/>
            <c:noEndCap val="0"/>
            <c:plus>
              <c:numRef>
                <c:f>'Time-series deltas'!$S$23:$W$23</c:f>
                <c:numCache>
                  <c:formatCode>General</c:formatCode>
                  <c:ptCount val="5"/>
                  <c:pt idx="0">
                    <c:v>0</c:v>
                  </c:pt>
                  <c:pt idx="1">
                    <c:v>0</c:v>
                  </c:pt>
                  <c:pt idx="2">
                    <c:v>1.3730067925389333E-2</c:v>
                  </c:pt>
                  <c:pt idx="3">
                    <c:v>1.8574921869091154E-2</c:v>
                  </c:pt>
                  <c:pt idx="4">
                    <c:v>1.5078371823482706E-2</c:v>
                  </c:pt>
                </c:numCache>
              </c:numRef>
            </c:plus>
            <c:minus>
              <c:numRef>
                <c:f>'Time-series deltas'!$S$24:$W$24</c:f>
                <c:numCache>
                  <c:formatCode>General</c:formatCode>
                  <c:ptCount val="5"/>
                  <c:pt idx="0">
                    <c:v>0</c:v>
                  </c:pt>
                  <c:pt idx="1">
                    <c:v>0</c:v>
                  </c:pt>
                  <c:pt idx="2">
                    <c:v>1.3545116322918549E-2</c:v>
                  </c:pt>
                  <c:pt idx="3">
                    <c:v>1.8234759229291075E-2</c:v>
                  </c:pt>
                  <c:pt idx="4">
                    <c:v>1.4853423056882198E-2</c:v>
                  </c:pt>
                </c:numCache>
              </c:numRef>
            </c:minus>
            <c:spPr>
              <a:ln w="12700">
                <a:solidFill>
                  <a:srgbClr val="000000"/>
                </a:solidFill>
                <a:prstDash val="solid"/>
              </a:ln>
            </c:spPr>
          </c:errBars>
          <c:xVal>
            <c:numRef>
              <c:f>'Time-series deltas'!$S$21:$W$21</c:f>
              <c:numCache>
                <c:formatCode>0.0</c:formatCode>
                <c:ptCount val="5"/>
                <c:pt idx="0">
                  <c:v>0.94</c:v>
                </c:pt>
                <c:pt idx="1">
                  <c:v>1.94</c:v>
                </c:pt>
                <c:pt idx="2">
                  <c:v>2.94</c:v>
                </c:pt>
                <c:pt idx="3">
                  <c:v>3.94</c:v>
                </c:pt>
                <c:pt idx="4">
                  <c:v>4.9400000000000004</c:v>
                </c:pt>
              </c:numCache>
            </c:numRef>
          </c:xVal>
          <c:yVal>
            <c:numRef>
              <c:f>'Time-series deltas'!$S$22:$W$22</c:f>
              <c:numCache>
                <c:formatCode>0.00</c:formatCode>
                <c:ptCount val="5"/>
                <c:pt idx="0">
                  <c:v>1</c:v>
                </c:pt>
                <c:pt idx="1">
                  <c:v>1</c:v>
                </c:pt>
                <c:pt idx="2">
                  <c:v>1.005535311327991</c:v>
                </c:pt>
                <c:pt idx="3">
                  <c:v>0.99572730322440894</c:v>
                </c:pt>
                <c:pt idx="4">
                  <c:v>0.99562864508105087</c:v>
                </c:pt>
              </c:numCache>
            </c:numRef>
          </c:yVal>
          <c:smooth val="0"/>
          <c:extLst>
            <c:ext xmlns:c16="http://schemas.microsoft.com/office/drawing/2014/chart" uri="{C3380CC4-5D6E-409C-BE32-E72D297353CC}">
              <c16:uniqueId val="{00000000-3AE8-4224-85D4-0F5713AA56BE}"/>
            </c:ext>
          </c:extLst>
        </c:ser>
        <c:ser>
          <c:idx val="1"/>
          <c:order val="1"/>
          <c:tx>
            <c:strRef>
              <c:f>'Time-series deltas'!$R$25</c:f>
              <c:strCache>
                <c:ptCount val="1"/>
                <c:pt idx="0">
                  <c:v>Exptal</c:v>
                </c:pt>
              </c:strCache>
            </c:strRef>
          </c:tx>
          <c:spPr>
            <a:ln w="12700">
              <a:solidFill>
                <a:srgbClr val="FF00FF"/>
              </a:solidFill>
              <a:prstDash val="solid"/>
            </a:ln>
          </c:spPr>
          <c:marker>
            <c:symbol val="triangle"/>
            <c:size val="6"/>
            <c:spPr>
              <a:solidFill>
                <a:srgbClr val="FF0000"/>
              </a:solidFill>
              <a:ln>
                <a:solidFill>
                  <a:srgbClr val="000000"/>
                </a:solidFill>
                <a:prstDash val="solid"/>
              </a:ln>
            </c:spPr>
          </c:marker>
          <c:errBars>
            <c:errDir val="y"/>
            <c:errBarType val="both"/>
            <c:errValType val="cust"/>
            <c:noEndCap val="0"/>
            <c:plus>
              <c:numRef>
                <c:f>'Time-series deltas'!$S$28:$W$28</c:f>
                <c:numCache>
                  <c:formatCode>General</c:formatCode>
                  <c:ptCount val="5"/>
                  <c:pt idx="0">
                    <c:v>0</c:v>
                  </c:pt>
                  <c:pt idx="1">
                    <c:v>0</c:v>
                  </c:pt>
                  <c:pt idx="2">
                    <c:v>2.1418359556059752E-2</c:v>
                  </c:pt>
                  <c:pt idx="3">
                    <c:v>3.2065855385960296E-2</c:v>
                  </c:pt>
                  <c:pt idx="4">
                    <c:v>2.9080908047923293E-2</c:v>
                  </c:pt>
                </c:numCache>
              </c:numRef>
            </c:plus>
            <c:minus>
              <c:numRef>
                <c:f>'Time-series deltas'!$S$29:$W$29</c:f>
                <c:numCache>
                  <c:formatCode>General</c:formatCode>
                  <c:ptCount val="5"/>
                  <c:pt idx="0">
                    <c:v>0</c:v>
                  </c:pt>
                  <c:pt idx="1">
                    <c:v>0</c:v>
                  </c:pt>
                  <c:pt idx="2">
                    <c:v>2.0980603393583985E-2</c:v>
                  </c:pt>
                  <c:pt idx="3">
                    <c:v>3.1084858763725909E-2</c:v>
                  </c:pt>
                  <c:pt idx="4">
                    <c:v>2.8269065920689673E-2</c:v>
                  </c:pt>
                </c:numCache>
              </c:numRef>
            </c:minus>
            <c:spPr>
              <a:ln w="12700">
                <a:solidFill>
                  <a:srgbClr val="000000"/>
                </a:solidFill>
                <a:prstDash val="solid"/>
              </a:ln>
            </c:spPr>
          </c:errBars>
          <c:xVal>
            <c:numRef>
              <c:f>'Time-series deltas'!$S$26:$W$26</c:f>
              <c:numCache>
                <c:formatCode>0.0</c:formatCode>
                <c:ptCount val="5"/>
                <c:pt idx="0">
                  <c:v>1.06</c:v>
                </c:pt>
                <c:pt idx="1">
                  <c:v>2.06</c:v>
                </c:pt>
                <c:pt idx="2">
                  <c:v>3.06</c:v>
                </c:pt>
                <c:pt idx="3">
                  <c:v>4.0599999999999996</c:v>
                </c:pt>
                <c:pt idx="4">
                  <c:v>5.0599999999999996</c:v>
                </c:pt>
              </c:numCache>
            </c:numRef>
          </c:xVal>
          <c:yVal>
            <c:numRef>
              <c:f>'Time-series deltas'!$S$27:$W$27</c:f>
              <c:numCache>
                <c:formatCode>0.00</c:formatCode>
                <c:ptCount val="5"/>
                <c:pt idx="0">
                  <c:v>1</c:v>
                </c:pt>
                <c:pt idx="1">
                  <c:v>1</c:v>
                </c:pt>
                <c:pt idx="2">
                  <c:v>1.0265306252811652</c:v>
                </c:pt>
                <c:pt idx="3">
                  <c:v>1.0160713739670635</c:v>
                </c:pt>
                <c:pt idx="4">
                  <c:v>1.012623118538635</c:v>
                </c:pt>
              </c:numCache>
            </c:numRef>
          </c:yVal>
          <c:smooth val="0"/>
          <c:extLst>
            <c:ext xmlns:c16="http://schemas.microsoft.com/office/drawing/2014/chart" uri="{C3380CC4-5D6E-409C-BE32-E72D297353CC}">
              <c16:uniqueId val="{00000001-3AE8-4224-85D4-0F5713AA56BE}"/>
            </c:ext>
          </c:extLst>
        </c:ser>
        <c:dLbls>
          <c:showLegendKey val="0"/>
          <c:showVal val="0"/>
          <c:showCatName val="0"/>
          <c:showSerName val="0"/>
          <c:showPercent val="0"/>
          <c:showBubbleSize val="0"/>
        </c:dLbls>
        <c:axId val="211325312"/>
        <c:axId val="211327232"/>
      </c:scatterChart>
      <c:valAx>
        <c:axId val="211325312"/>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Time</a:t>
                </a:r>
              </a:p>
            </c:rich>
          </c:tx>
          <c:layout>
            <c:manualLayout>
              <c:xMode val="edge"/>
              <c:yMode val="edge"/>
              <c:x val="0.50276154131040363"/>
              <c:y val="0.93694842361572273"/>
            </c:manualLayout>
          </c:layout>
          <c:overlay val="0"/>
          <c:spPr>
            <a:noFill/>
            <a:ln w="25400">
              <a:noFill/>
            </a:ln>
          </c:spPr>
        </c:title>
        <c:numFmt formatCode="0.0"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1327232"/>
        <c:crossesAt val="1"/>
        <c:crossBetween val="midCat"/>
      </c:valAx>
      <c:valAx>
        <c:axId val="211327232"/>
        <c:scaling>
          <c:logBase val="2"/>
          <c:orientation val="minMax"/>
        </c:scaling>
        <c:delete val="0"/>
        <c:axPos val="l"/>
        <c:numFmt formatCode="0.0" sourceLinked="0"/>
        <c:majorTickMark val="out"/>
        <c:minorTickMark val="out"/>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1325312"/>
        <c:crosses val="autoZero"/>
        <c:crossBetween val="midCat"/>
      </c:valAx>
      <c:spPr>
        <a:solidFill>
          <a:srgbClr val="FFFFFF"/>
        </a:solidFill>
        <a:ln w="12700">
          <a:solidFill>
            <a:srgbClr val="808080"/>
          </a:solidFill>
          <a:prstDash val="solid"/>
        </a:ln>
      </c:spPr>
    </c:plotArea>
    <c:legend>
      <c:legendPos val="r"/>
      <c:layout>
        <c:manualLayout>
          <c:xMode val="edge"/>
          <c:yMode val="edge"/>
          <c:x val="0.52249488752556239"/>
          <c:y val="2.7523235320222654E-2"/>
          <c:w val="0.31283271339548813"/>
          <c:h val="0.10242639850741547"/>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 (%)</a:t>
            </a:r>
          </a:p>
        </c:rich>
      </c:tx>
      <c:layout>
        <c:manualLayout>
          <c:xMode val="edge"/>
          <c:yMode val="edge"/>
          <c:x val="5.353203548942885E-2"/>
          <c:y val="6.1752666089338507E-2"/>
        </c:manualLayout>
      </c:layout>
      <c:overlay val="0"/>
      <c:spPr>
        <a:noFill/>
        <a:ln w="25400">
          <a:noFill/>
        </a:ln>
      </c:spPr>
    </c:title>
    <c:autoTitleDeleted val="0"/>
    <c:plotArea>
      <c:layout>
        <c:manualLayout>
          <c:layoutTarget val="inner"/>
          <c:xMode val="edge"/>
          <c:yMode val="edge"/>
          <c:x val="0.15027977714442137"/>
          <c:y val="0.13396246250923363"/>
          <c:w val="0.82807249003723415"/>
          <c:h val="0.72980059807228492"/>
        </c:manualLayout>
      </c:layout>
      <c:lineChart>
        <c:grouping val="standard"/>
        <c:varyColors val="0"/>
        <c:ser>
          <c:idx val="0"/>
          <c:order val="0"/>
          <c:tx>
            <c:strRef>
              <c:f>'Time-series deltas'!$R$32</c:f>
              <c:strCache>
                <c:ptCount val="1"/>
                <c:pt idx="0">
                  <c:v>Control</c:v>
                </c:pt>
              </c:strCache>
            </c:strRef>
          </c:tx>
          <c:spPr>
            <a:ln w="12700">
              <a:solidFill>
                <a:srgbClr val="3366FF"/>
              </a:solidFill>
              <a:prstDash val="solid"/>
            </a:ln>
          </c:spPr>
          <c:marker>
            <c:symbol val="circle"/>
            <c:size val="6"/>
            <c:spPr>
              <a:solidFill>
                <a:srgbClr val="3366FF"/>
              </a:solidFill>
              <a:ln>
                <a:solidFill>
                  <a:srgbClr val="000000"/>
                </a:solidFill>
                <a:prstDash val="solid"/>
              </a:ln>
            </c:spPr>
          </c:marker>
          <c:errBars>
            <c:errDir val="y"/>
            <c:errBarType val="both"/>
            <c:errValType val="cust"/>
            <c:noEndCap val="0"/>
            <c:plus>
              <c:numRef>
                <c:f>'Time-series deltas'!$S$35:$W$35</c:f>
                <c:numCache>
                  <c:formatCode>General</c:formatCode>
                  <c:ptCount val="5"/>
                  <c:pt idx="0">
                    <c:v>0</c:v>
                  </c:pt>
                  <c:pt idx="1">
                    <c:v>0</c:v>
                  </c:pt>
                  <c:pt idx="2">
                    <c:v>1.3730067925389449</c:v>
                  </c:pt>
                  <c:pt idx="3">
                    <c:v>1.857492186909127</c:v>
                  </c:pt>
                  <c:pt idx="4">
                    <c:v>1.5078371823482684</c:v>
                  </c:pt>
                </c:numCache>
              </c:numRef>
            </c:plus>
            <c:minus>
              <c:numRef>
                <c:f>'Time-series deltas'!$S$36:$W$36</c:f>
                <c:numCache>
                  <c:formatCode>General</c:formatCode>
                  <c:ptCount val="5"/>
                  <c:pt idx="0">
                    <c:v>0</c:v>
                  </c:pt>
                  <c:pt idx="1">
                    <c:v>0</c:v>
                  </c:pt>
                  <c:pt idx="2">
                    <c:v>1.354511632291846</c:v>
                  </c:pt>
                  <c:pt idx="3">
                    <c:v>1.82347592292912</c:v>
                  </c:pt>
                  <c:pt idx="4">
                    <c:v>1.4853423056882349</c:v>
                  </c:pt>
                </c:numCache>
              </c:numRef>
            </c:minus>
            <c:spPr>
              <a:ln w="12700">
                <a:solidFill>
                  <a:srgbClr val="000000"/>
                </a:solidFill>
                <a:prstDash val="solid"/>
              </a:ln>
            </c:spPr>
          </c:errBars>
          <c:cat>
            <c:numRef>
              <c:f>'Time-series deltas'!$S$38:$W$38</c:f>
              <c:numCache>
                <c:formatCode>0.0</c:formatCode>
                <c:ptCount val="5"/>
                <c:pt idx="0">
                  <c:v>1.06</c:v>
                </c:pt>
                <c:pt idx="1">
                  <c:v>2.06</c:v>
                </c:pt>
                <c:pt idx="2">
                  <c:v>3.06</c:v>
                </c:pt>
                <c:pt idx="3">
                  <c:v>4.0599999999999996</c:v>
                </c:pt>
                <c:pt idx="4">
                  <c:v>5.0599999999999996</c:v>
                </c:pt>
              </c:numCache>
            </c:numRef>
          </c:cat>
          <c:val>
            <c:numRef>
              <c:f>'Time-series deltas'!$S$34:$W$34</c:f>
              <c:numCache>
                <c:formatCode>0.0</c:formatCode>
                <c:ptCount val="5"/>
                <c:pt idx="0">
                  <c:v>0</c:v>
                </c:pt>
                <c:pt idx="1">
                  <c:v>0</c:v>
                </c:pt>
                <c:pt idx="2">
                  <c:v>0.55353113279909394</c:v>
                </c:pt>
                <c:pt idx="3">
                  <c:v>-0.42726967755911005</c:v>
                </c:pt>
                <c:pt idx="4">
                  <c:v>-0.43713549189490664</c:v>
                </c:pt>
              </c:numCache>
            </c:numRef>
          </c:val>
          <c:smooth val="0"/>
          <c:extLst>
            <c:ext xmlns:c16="http://schemas.microsoft.com/office/drawing/2014/chart" uri="{C3380CC4-5D6E-409C-BE32-E72D297353CC}">
              <c16:uniqueId val="{00000000-654C-4250-8D35-95ED07A6E5A9}"/>
            </c:ext>
          </c:extLst>
        </c:ser>
        <c:ser>
          <c:idx val="1"/>
          <c:order val="1"/>
          <c:tx>
            <c:strRef>
              <c:f>'Time-series deltas'!$R$37</c:f>
              <c:strCache>
                <c:ptCount val="1"/>
                <c:pt idx="0">
                  <c:v>Exptal</c:v>
                </c:pt>
              </c:strCache>
            </c:strRef>
          </c:tx>
          <c:spPr>
            <a:ln w="12700">
              <a:solidFill>
                <a:srgbClr val="FF0000"/>
              </a:solidFill>
              <a:prstDash val="solid"/>
            </a:ln>
          </c:spPr>
          <c:marker>
            <c:symbol val="triangle"/>
            <c:size val="6"/>
            <c:spPr>
              <a:solidFill>
                <a:srgbClr val="FF0000"/>
              </a:solidFill>
              <a:ln>
                <a:solidFill>
                  <a:srgbClr val="000000"/>
                </a:solidFill>
                <a:prstDash val="solid"/>
              </a:ln>
            </c:spPr>
          </c:marker>
          <c:errBars>
            <c:errDir val="y"/>
            <c:errBarType val="both"/>
            <c:errValType val="cust"/>
            <c:noEndCap val="0"/>
            <c:plus>
              <c:numRef>
                <c:f>'Time-series deltas'!$S$40:$W$40</c:f>
                <c:numCache>
                  <c:formatCode>General</c:formatCode>
                  <c:ptCount val="5"/>
                  <c:pt idx="0">
                    <c:v>0</c:v>
                  </c:pt>
                  <c:pt idx="1">
                    <c:v>0</c:v>
                  </c:pt>
                  <c:pt idx="2">
                    <c:v>2.1418359556059841</c:v>
                  </c:pt>
                  <c:pt idx="3">
                    <c:v>3.206585538596002</c:v>
                  </c:pt>
                  <c:pt idx="4">
                    <c:v>2.9080908047923373</c:v>
                  </c:pt>
                </c:numCache>
              </c:numRef>
            </c:plus>
            <c:minus>
              <c:numRef>
                <c:f>'Time-series deltas'!$S$41:$W$41</c:f>
                <c:numCache>
                  <c:formatCode>General</c:formatCode>
                  <c:ptCount val="5"/>
                  <c:pt idx="0">
                    <c:v>0</c:v>
                  </c:pt>
                  <c:pt idx="1">
                    <c:v>0</c:v>
                  </c:pt>
                  <c:pt idx="2">
                    <c:v>2.0980603393583976</c:v>
                  </c:pt>
                  <c:pt idx="3">
                    <c:v>3.1084858763726118</c:v>
                  </c:pt>
                  <c:pt idx="4">
                    <c:v>2.8269065920689513</c:v>
                  </c:pt>
                </c:numCache>
              </c:numRef>
            </c:minus>
            <c:spPr>
              <a:ln w="12700">
                <a:solidFill>
                  <a:srgbClr val="000000"/>
                </a:solidFill>
                <a:prstDash val="solid"/>
              </a:ln>
            </c:spPr>
          </c:errBars>
          <c:cat>
            <c:numRef>
              <c:f>'Time-series deltas'!$S$38:$W$38</c:f>
              <c:numCache>
                <c:formatCode>0.0</c:formatCode>
                <c:ptCount val="5"/>
                <c:pt idx="0">
                  <c:v>1.06</c:v>
                </c:pt>
                <c:pt idx="1">
                  <c:v>2.06</c:v>
                </c:pt>
                <c:pt idx="2">
                  <c:v>3.06</c:v>
                </c:pt>
                <c:pt idx="3">
                  <c:v>4.0599999999999996</c:v>
                </c:pt>
                <c:pt idx="4">
                  <c:v>5.0599999999999996</c:v>
                </c:pt>
              </c:numCache>
            </c:numRef>
          </c:cat>
          <c:val>
            <c:numRef>
              <c:f>'Time-series deltas'!$S$39:$W$39</c:f>
              <c:numCache>
                <c:formatCode>0.0</c:formatCode>
                <c:ptCount val="5"/>
                <c:pt idx="0">
                  <c:v>0</c:v>
                </c:pt>
                <c:pt idx="1">
                  <c:v>0</c:v>
                </c:pt>
                <c:pt idx="2">
                  <c:v>2.6530625281165214</c:v>
                </c:pt>
                <c:pt idx="3">
                  <c:v>1.6071373967063494</c:v>
                </c:pt>
                <c:pt idx="4">
                  <c:v>1.2623118538634941</c:v>
                </c:pt>
              </c:numCache>
            </c:numRef>
          </c:val>
          <c:smooth val="0"/>
          <c:extLst>
            <c:ext xmlns:c16="http://schemas.microsoft.com/office/drawing/2014/chart" uri="{C3380CC4-5D6E-409C-BE32-E72D297353CC}">
              <c16:uniqueId val="{00000001-654C-4250-8D35-95ED07A6E5A9}"/>
            </c:ext>
          </c:extLst>
        </c:ser>
        <c:dLbls>
          <c:showLegendKey val="0"/>
          <c:showVal val="0"/>
          <c:showCatName val="0"/>
          <c:showSerName val="0"/>
          <c:showPercent val="0"/>
          <c:showBubbleSize val="0"/>
        </c:dLbls>
        <c:marker val="1"/>
        <c:smooth val="0"/>
        <c:axId val="215212416"/>
        <c:axId val="215214336"/>
      </c:lineChart>
      <c:catAx>
        <c:axId val="215212416"/>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Trial</a:t>
                </a:r>
              </a:p>
            </c:rich>
          </c:tx>
          <c:layout>
            <c:manualLayout>
              <c:xMode val="edge"/>
              <c:yMode val="edge"/>
              <c:x val="0.47719916912226462"/>
              <c:y val="0.92961786336113927"/>
            </c:manualLayout>
          </c:layout>
          <c:overlay val="0"/>
          <c:spPr>
            <a:noFill/>
            <a:ln w="25400">
              <a:noFill/>
            </a:ln>
          </c:spPr>
        </c:title>
        <c:numFmt formatCode="0.0" sourceLinked="1"/>
        <c:majorTickMark val="out"/>
        <c:minorTickMark val="none"/>
        <c:tickLblPos val="low"/>
        <c:spPr>
          <a:ln w="3175">
            <a:solidFill>
              <a:srgbClr val="000000"/>
            </a:solidFill>
            <a:prstDash val="solid"/>
          </a:ln>
        </c:spPr>
        <c:crossAx val="215214336"/>
        <c:crossesAt val="0"/>
        <c:auto val="1"/>
        <c:lblAlgn val="ctr"/>
        <c:lblOffset val="100"/>
        <c:tickMarkSkip val="1"/>
        <c:noMultiLvlLbl val="0"/>
      </c:catAx>
      <c:valAx>
        <c:axId val="215214336"/>
        <c:scaling>
          <c:orientation val="minMax"/>
        </c:scaling>
        <c:delete val="0"/>
        <c:axPos val="l"/>
        <c:numFmt formatCode="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5212416"/>
        <c:crosses val="autoZero"/>
        <c:crossBetween val="between"/>
      </c:valAx>
      <c:spPr>
        <a:solidFill>
          <a:srgbClr val="FFFFFF"/>
        </a:solidFill>
        <a:ln w="12700">
          <a:solidFill>
            <a:srgbClr val="808080"/>
          </a:solidFill>
          <a:prstDash val="solid"/>
        </a:ln>
      </c:spPr>
    </c:plotArea>
    <c:legend>
      <c:legendPos val="r"/>
      <c:layout>
        <c:manualLayout>
          <c:xMode val="edge"/>
          <c:yMode val="edge"/>
          <c:x val="0.48159509202453987"/>
          <c:y val="1.5758221398795735E-2"/>
          <c:w val="0.31283271339548813"/>
          <c:h val="0.10293456511005433"/>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 (%)</a:t>
            </a:r>
          </a:p>
        </c:rich>
      </c:tx>
      <c:layout>
        <c:manualLayout>
          <c:xMode val="edge"/>
          <c:yMode val="edge"/>
          <c:x val="4.3307086614173228E-2"/>
          <c:y val="8.1301268064383522E-2"/>
        </c:manualLayout>
      </c:layout>
      <c:overlay val="0"/>
      <c:spPr>
        <a:noFill/>
        <a:ln w="25400">
          <a:noFill/>
        </a:ln>
      </c:spPr>
    </c:title>
    <c:autoTitleDeleted val="0"/>
    <c:plotArea>
      <c:layout>
        <c:manualLayout>
          <c:layoutTarget val="inner"/>
          <c:xMode val="edge"/>
          <c:yMode val="edge"/>
          <c:x val="0.11502584416211777"/>
          <c:y val="0.17053615580661113"/>
          <c:w val="0.82807249003723415"/>
          <c:h val="0.71315509979857172"/>
        </c:manualLayout>
      </c:layout>
      <c:scatterChart>
        <c:scatterStyle val="lineMarker"/>
        <c:varyColors val="0"/>
        <c:ser>
          <c:idx val="0"/>
          <c:order val="0"/>
          <c:tx>
            <c:strRef>
              <c:f>'Time-series deltas'!$R$32</c:f>
              <c:strCache>
                <c:ptCount val="1"/>
                <c:pt idx="0">
                  <c:v>Control</c:v>
                </c:pt>
              </c:strCache>
            </c:strRef>
          </c:tx>
          <c:spPr>
            <a:ln w="12700">
              <a:solidFill>
                <a:srgbClr val="000080"/>
              </a:solidFill>
              <a:prstDash val="solid"/>
            </a:ln>
          </c:spPr>
          <c:marker>
            <c:symbol val="circle"/>
            <c:size val="6"/>
            <c:spPr>
              <a:solidFill>
                <a:srgbClr val="3366FF"/>
              </a:solidFill>
              <a:ln>
                <a:solidFill>
                  <a:srgbClr val="000000"/>
                </a:solidFill>
                <a:prstDash val="solid"/>
              </a:ln>
            </c:spPr>
          </c:marker>
          <c:errBars>
            <c:errDir val="y"/>
            <c:errBarType val="both"/>
            <c:errValType val="cust"/>
            <c:noEndCap val="0"/>
            <c:plus>
              <c:numRef>
                <c:f>'Time-series deltas'!$S$35:$W$35</c:f>
                <c:numCache>
                  <c:formatCode>General</c:formatCode>
                  <c:ptCount val="5"/>
                  <c:pt idx="0">
                    <c:v>0</c:v>
                  </c:pt>
                  <c:pt idx="1">
                    <c:v>0</c:v>
                  </c:pt>
                  <c:pt idx="2">
                    <c:v>1.3730067925389449</c:v>
                  </c:pt>
                  <c:pt idx="3">
                    <c:v>1.857492186909127</c:v>
                  </c:pt>
                  <c:pt idx="4">
                    <c:v>1.5078371823482684</c:v>
                  </c:pt>
                </c:numCache>
              </c:numRef>
            </c:plus>
            <c:minus>
              <c:numRef>
                <c:f>'Time-series deltas'!$S$36:$W$36</c:f>
                <c:numCache>
                  <c:formatCode>General</c:formatCode>
                  <c:ptCount val="5"/>
                  <c:pt idx="0">
                    <c:v>0</c:v>
                  </c:pt>
                  <c:pt idx="1">
                    <c:v>0</c:v>
                  </c:pt>
                  <c:pt idx="2">
                    <c:v>1.354511632291846</c:v>
                  </c:pt>
                  <c:pt idx="3">
                    <c:v>1.82347592292912</c:v>
                  </c:pt>
                  <c:pt idx="4">
                    <c:v>1.4853423056882349</c:v>
                  </c:pt>
                </c:numCache>
              </c:numRef>
            </c:minus>
            <c:spPr>
              <a:ln w="12700">
                <a:solidFill>
                  <a:srgbClr val="000000"/>
                </a:solidFill>
                <a:prstDash val="solid"/>
              </a:ln>
            </c:spPr>
          </c:errBars>
          <c:xVal>
            <c:numRef>
              <c:f>'Time-series deltas'!$S$33:$W$33</c:f>
              <c:numCache>
                <c:formatCode>0.0</c:formatCode>
                <c:ptCount val="5"/>
                <c:pt idx="0">
                  <c:v>0.94</c:v>
                </c:pt>
                <c:pt idx="1">
                  <c:v>1.94</c:v>
                </c:pt>
                <c:pt idx="2">
                  <c:v>2.94</c:v>
                </c:pt>
                <c:pt idx="3">
                  <c:v>3.94</c:v>
                </c:pt>
                <c:pt idx="4">
                  <c:v>4.9400000000000004</c:v>
                </c:pt>
              </c:numCache>
            </c:numRef>
          </c:xVal>
          <c:yVal>
            <c:numRef>
              <c:f>'Time-series deltas'!$S$34:$W$34</c:f>
              <c:numCache>
                <c:formatCode>0.0</c:formatCode>
                <c:ptCount val="5"/>
                <c:pt idx="0">
                  <c:v>0</c:v>
                </c:pt>
                <c:pt idx="1">
                  <c:v>0</c:v>
                </c:pt>
                <c:pt idx="2">
                  <c:v>0.55353113279909394</c:v>
                </c:pt>
                <c:pt idx="3">
                  <c:v>-0.42726967755911005</c:v>
                </c:pt>
                <c:pt idx="4">
                  <c:v>-0.43713549189490664</c:v>
                </c:pt>
              </c:numCache>
            </c:numRef>
          </c:yVal>
          <c:smooth val="0"/>
          <c:extLst>
            <c:ext xmlns:c16="http://schemas.microsoft.com/office/drawing/2014/chart" uri="{C3380CC4-5D6E-409C-BE32-E72D297353CC}">
              <c16:uniqueId val="{00000000-00DF-4701-A674-9572A0E68290}"/>
            </c:ext>
          </c:extLst>
        </c:ser>
        <c:ser>
          <c:idx val="1"/>
          <c:order val="1"/>
          <c:tx>
            <c:strRef>
              <c:f>'Time-series deltas'!$R$37</c:f>
              <c:strCache>
                <c:ptCount val="1"/>
                <c:pt idx="0">
                  <c:v>Exptal</c:v>
                </c:pt>
              </c:strCache>
            </c:strRef>
          </c:tx>
          <c:spPr>
            <a:ln w="12700">
              <a:solidFill>
                <a:srgbClr val="FF00FF"/>
              </a:solidFill>
              <a:prstDash val="solid"/>
            </a:ln>
          </c:spPr>
          <c:marker>
            <c:symbol val="triangle"/>
            <c:size val="6"/>
            <c:spPr>
              <a:solidFill>
                <a:srgbClr val="FF0000"/>
              </a:solidFill>
              <a:ln>
                <a:solidFill>
                  <a:srgbClr val="000000"/>
                </a:solidFill>
                <a:prstDash val="solid"/>
              </a:ln>
            </c:spPr>
          </c:marker>
          <c:errBars>
            <c:errDir val="y"/>
            <c:errBarType val="both"/>
            <c:errValType val="cust"/>
            <c:noEndCap val="0"/>
            <c:plus>
              <c:numRef>
                <c:f>'Time-series deltas'!$S$40:$W$40</c:f>
                <c:numCache>
                  <c:formatCode>General</c:formatCode>
                  <c:ptCount val="5"/>
                  <c:pt idx="0">
                    <c:v>0</c:v>
                  </c:pt>
                  <c:pt idx="1">
                    <c:v>0</c:v>
                  </c:pt>
                  <c:pt idx="2">
                    <c:v>2.1418359556059841</c:v>
                  </c:pt>
                  <c:pt idx="3">
                    <c:v>3.206585538596002</c:v>
                  </c:pt>
                  <c:pt idx="4">
                    <c:v>2.9080908047923373</c:v>
                  </c:pt>
                </c:numCache>
              </c:numRef>
            </c:plus>
            <c:minus>
              <c:numRef>
                <c:f>'Time-series deltas'!$S$41:$W$41</c:f>
                <c:numCache>
                  <c:formatCode>General</c:formatCode>
                  <c:ptCount val="5"/>
                  <c:pt idx="0">
                    <c:v>0</c:v>
                  </c:pt>
                  <c:pt idx="1">
                    <c:v>0</c:v>
                  </c:pt>
                  <c:pt idx="2">
                    <c:v>2.0980603393583976</c:v>
                  </c:pt>
                  <c:pt idx="3">
                    <c:v>3.1084858763726118</c:v>
                  </c:pt>
                  <c:pt idx="4">
                    <c:v>2.8269065920689513</c:v>
                  </c:pt>
                </c:numCache>
              </c:numRef>
            </c:minus>
            <c:spPr>
              <a:ln w="12700">
                <a:solidFill>
                  <a:srgbClr val="000000"/>
                </a:solidFill>
                <a:prstDash val="solid"/>
              </a:ln>
            </c:spPr>
          </c:errBars>
          <c:xVal>
            <c:numRef>
              <c:f>'Time-series deltas'!$S$38:$W$38</c:f>
              <c:numCache>
                <c:formatCode>0.0</c:formatCode>
                <c:ptCount val="5"/>
                <c:pt idx="0">
                  <c:v>1.06</c:v>
                </c:pt>
                <c:pt idx="1">
                  <c:v>2.06</c:v>
                </c:pt>
                <c:pt idx="2">
                  <c:v>3.06</c:v>
                </c:pt>
                <c:pt idx="3">
                  <c:v>4.0599999999999996</c:v>
                </c:pt>
                <c:pt idx="4">
                  <c:v>5.0599999999999996</c:v>
                </c:pt>
              </c:numCache>
            </c:numRef>
          </c:xVal>
          <c:yVal>
            <c:numRef>
              <c:f>'Time-series deltas'!$S$39:$W$39</c:f>
              <c:numCache>
                <c:formatCode>0.0</c:formatCode>
                <c:ptCount val="5"/>
                <c:pt idx="0">
                  <c:v>0</c:v>
                </c:pt>
                <c:pt idx="1">
                  <c:v>0</c:v>
                </c:pt>
                <c:pt idx="2">
                  <c:v>2.6530625281165214</c:v>
                </c:pt>
                <c:pt idx="3">
                  <c:v>1.6071373967063494</c:v>
                </c:pt>
                <c:pt idx="4">
                  <c:v>1.2623118538634941</c:v>
                </c:pt>
              </c:numCache>
            </c:numRef>
          </c:yVal>
          <c:smooth val="0"/>
          <c:extLst>
            <c:ext xmlns:c16="http://schemas.microsoft.com/office/drawing/2014/chart" uri="{C3380CC4-5D6E-409C-BE32-E72D297353CC}">
              <c16:uniqueId val="{00000001-00DF-4701-A674-9572A0E68290}"/>
            </c:ext>
          </c:extLst>
        </c:ser>
        <c:dLbls>
          <c:showLegendKey val="0"/>
          <c:showVal val="0"/>
          <c:showCatName val="0"/>
          <c:showSerName val="0"/>
          <c:showPercent val="0"/>
          <c:showBubbleSize val="0"/>
        </c:dLbls>
        <c:axId val="215441792"/>
        <c:axId val="215443712"/>
      </c:scatterChart>
      <c:valAx>
        <c:axId val="215441792"/>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Time</a:t>
                </a:r>
              </a:p>
            </c:rich>
          </c:tx>
          <c:layout>
            <c:manualLayout>
              <c:xMode val="edge"/>
              <c:yMode val="edge"/>
              <c:x val="0.50276154131040363"/>
              <c:y val="0.93694842361572273"/>
            </c:manualLayout>
          </c:layout>
          <c:overlay val="0"/>
          <c:spPr>
            <a:noFill/>
            <a:ln w="25400">
              <a:noFill/>
            </a:ln>
          </c:spPr>
        </c:title>
        <c:numFmt formatCode="0.0"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5443712"/>
        <c:crossesAt val="0"/>
        <c:crossBetween val="midCat"/>
      </c:valAx>
      <c:valAx>
        <c:axId val="215443712"/>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5441792"/>
        <c:crosses val="autoZero"/>
        <c:crossBetween val="midCat"/>
      </c:valAx>
      <c:spPr>
        <a:solidFill>
          <a:srgbClr val="FFFFFF"/>
        </a:solidFill>
        <a:ln w="12700">
          <a:solidFill>
            <a:srgbClr val="808080"/>
          </a:solidFill>
          <a:prstDash val="solid"/>
        </a:ln>
      </c:spPr>
    </c:plotArea>
    <c:legend>
      <c:legendPos val="r"/>
      <c:layout>
        <c:manualLayout>
          <c:xMode val="edge"/>
          <c:yMode val="edge"/>
          <c:x val="0.43558282208588961"/>
          <c:y val="2.7523321632988648E-2"/>
          <c:w val="0.33839508558362713"/>
          <c:h val="0.10242639850741547"/>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16</xdr:col>
      <xdr:colOff>30480</xdr:colOff>
      <xdr:row>110</xdr:row>
      <xdr:rowOff>88672</xdr:rowOff>
    </xdr:from>
    <xdr:to>
      <xdr:col>16</xdr:col>
      <xdr:colOff>2506980</xdr:colOff>
      <xdr:row>125</xdr:row>
      <xdr:rowOff>76201</xdr:rowOff>
    </xdr:to>
    <xdr:graphicFrame macro="">
      <xdr:nvGraphicFramePr>
        <xdr:cNvPr id="2153972" name="Chart 1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38100</xdr:colOff>
      <xdr:row>135</xdr:row>
      <xdr:rowOff>87087</xdr:rowOff>
    </xdr:from>
    <xdr:to>
      <xdr:col>16</xdr:col>
      <xdr:colOff>2514600</xdr:colOff>
      <xdr:row>151</xdr:row>
      <xdr:rowOff>17670</xdr:rowOff>
    </xdr:to>
    <xdr:graphicFrame macro="">
      <xdr:nvGraphicFramePr>
        <xdr:cNvPr id="2153973" name="Chart 1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38100</xdr:colOff>
      <xdr:row>155</xdr:row>
      <xdr:rowOff>13161</xdr:rowOff>
    </xdr:from>
    <xdr:to>
      <xdr:col>16</xdr:col>
      <xdr:colOff>2514600</xdr:colOff>
      <xdr:row>162</xdr:row>
      <xdr:rowOff>148936</xdr:rowOff>
    </xdr:to>
    <xdr:graphicFrame macro="">
      <xdr:nvGraphicFramePr>
        <xdr:cNvPr id="2153974" name="Chart 1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30480</xdr:colOff>
      <xdr:row>166</xdr:row>
      <xdr:rowOff>36023</xdr:rowOff>
    </xdr:from>
    <xdr:to>
      <xdr:col>16</xdr:col>
      <xdr:colOff>2506980</xdr:colOff>
      <xdr:row>178</xdr:row>
      <xdr:rowOff>142703</xdr:rowOff>
    </xdr:to>
    <xdr:graphicFrame macro="">
      <xdr:nvGraphicFramePr>
        <xdr:cNvPr id="2153975" name="Chart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30480</xdr:colOff>
      <xdr:row>110</xdr:row>
      <xdr:rowOff>56030</xdr:rowOff>
    </xdr:from>
    <xdr:to>
      <xdr:col>33</xdr:col>
      <xdr:colOff>2506980</xdr:colOff>
      <xdr:row>125</xdr:row>
      <xdr:rowOff>119743</xdr:rowOff>
    </xdr:to>
    <xdr:graphicFrame macro="">
      <xdr:nvGraphicFramePr>
        <xdr:cNvPr id="2153976" name="Chart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38100</xdr:colOff>
      <xdr:row>135</xdr:row>
      <xdr:rowOff>87085</xdr:rowOff>
    </xdr:from>
    <xdr:to>
      <xdr:col>33</xdr:col>
      <xdr:colOff>2514600</xdr:colOff>
      <xdr:row>150</xdr:row>
      <xdr:rowOff>79513</xdr:rowOff>
    </xdr:to>
    <xdr:graphicFrame macro="">
      <xdr:nvGraphicFramePr>
        <xdr:cNvPr id="2153977"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38100</xdr:colOff>
      <xdr:row>155</xdr:row>
      <xdr:rowOff>13161</xdr:rowOff>
    </xdr:from>
    <xdr:to>
      <xdr:col>33</xdr:col>
      <xdr:colOff>2514600</xdr:colOff>
      <xdr:row>163</xdr:row>
      <xdr:rowOff>28401</xdr:rowOff>
    </xdr:to>
    <xdr:graphicFrame macro="">
      <xdr:nvGraphicFramePr>
        <xdr:cNvPr id="2153978" name="Chart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33</xdr:col>
      <xdr:colOff>38100</xdr:colOff>
      <xdr:row>166</xdr:row>
      <xdr:rowOff>69272</xdr:rowOff>
    </xdr:from>
    <xdr:to>
      <xdr:col>33</xdr:col>
      <xdr:colOff>2514600</xdr:colOff>
      <xdr:row>178</xdr:row>
      <xdr:rowOff>163484</xdr:rowOff>
    </xdr:to>
    <xdr:graphicFrame macro="">
      <xdr:nvGraphicFramePr>
        <xdr:cNvPr id="2153979" name="Chart 1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662940</xdr:colOff>
      <xdr:row>170</xdr:row>
      <xdr:rowOff>0</xdr:rowOff>
    </xdr:from>
    <xdr:to>
      <xdr:col>1</xdr:col>
      <xdr:colOff>662940</xdr:colOff>
      <xdr:row>179</xdr:row>
      <xdr:rowOff>205740</xdr:rowOff>
    </xdr:to>
    <xdr:sp macro="" textlink="">
      <xdr:nvSpPr>
        <xdr:cNvPr id="2153980" name="Line 235"/>
        <xdr:cNvSpPr>
          <a:spLocks noChangeShapeType="1"/>
        </xdr:cNvSpPr>
      </xdr:nvSpPr>
      <xdr:spPr bwMode="auto">
        <a:xfrm>
          <a:off x="899160" y="30030420"/>
          <a:ext cx="0" cy="1684020"/>
        </a:xfrm>
        <a:prstGeom prst="line">
          <a:avLst/>
        </a:prstGeom>
        <a:noFill/>
        <a:ln w="76200">
          <a:solidFill>
            <a:srgbClr val="C0C0C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579120</xdr:colOff>
      <xdr:row>170</xdr:row>
      <xdr:rowOff>0</xdr:rowOff>
    </xdr:from>
    <xdr:to>
      <xdr:col>10</xdr:col>
      <xdr:colOff>579120</xdr:colOff>
      <xdr:row>179</xdr:row>
      <xdr:rowOff>205740</xdr:rowOff>
    </xdr:to>
    <xdr:sp macro="" textlink="">
      <xdr:nvSpPr>
        <xdr:cNvPr id="2153981" name="Line 236"/>
        <xdr:cNvSpPr>
          <a:spLocks noChangeShapeType="1"/>
        </xdr:cNvSpPr>
      </xdr:nvSpPr>
      <xdr:spPr bwMode="auto">
        <a:xfrm>
          <a:off x="5737860" y="30030420"/>
          <a:ext cx="0" cy="1684020"/>
        </a:xfrm>
        <a:prstGeom prst="line">
          <a:avLst/>
        </a:prstGeom>
        <a:noFill/>
        <a:ln w="76200">
          <a:solidFill>
            <a:srgbClr val="C0C0C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662940</xdr:colOff>
      <xdr:row>170</xdr:row>
      <xdr:rowOff>0</xdr:rowOff>
    </xdr:from>
    <xdr:to>
      <xdr:col>1</xdr:col>
      <xdr:colOff>662940</xdr:colOff>
      <xdr:row>179</xdr:row>
      <xdr:rowOff>205740</xdr:rowOff>
    </xdr:to>
    <xdr:sp macro="" textlink="">
      <xdr:nvSpPr>
        <xdr:cNvPr id="2153982" name="Line 320"/>
        <xdr:cNvSpPr>
          <a:spLocks noChangeShapeType="1"/>
        </xdr:cNvSpPr>
      </xdr:nvSpPr>
      <xdr:spPr bwMode="auto">
        <a:xfrm>
          <a:off x="899160" y="30030420"/>
          <a:ext cx="0" cy="1684020"/>
        </a:xfrm>
        <a:prstGeom prst="line">
          <a:avLst/>
        </a:prstGeom>
        <a:noFill/>
        <a:ln w="76200">
          <a:solidFill>
            <a:srgbClr val="C0C0C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579120</xdr:colOff>
      <xdr:row>170</xdr:row>
      <xdr:rowOff>0</xdr:rowOff>
    </xdr:from>
    <xdr:to>
      <xdr:col>10</xdr:col>
      <xdr:colOff>579120</xdr:colOff>
      <xdr:row>179</xdr:row>
      <xdr:rowOff>205740</xdr:rowOff>
    </xdr:to>
    <xdr:sp macro="" textlink="">
      <xdr:nvSpPr>
        <xdr:cNvPr id="2153983" name="Line 321"/>
        <xdr:cNvSpPr>
          <a:spLocks noChangeShapeType="1"/>
        </xdr:cNvSpPr>
      </xdr:nvSpPr>
      <xdr:spPr bwMode="auto">
        <a:xfrm>
          <a:off x="5737860" y="30030420"/>
          <a:ext cx="0" cy="1684020"/>
        </a:xfrm>
        <a:prstGeom prst="line">
          <a:avLst/>
        </a:prstGeom>
        <a:noFill/>
        <a:ln w="76200">
          <a:solidFill>
            <a:srgbClr val="C0C0C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30480</xdr:colOff>
      <xdr:row>15</xdr:row>
      <xdr:rowOff>99060</xdr:rowOff>
    </xdr:from>
    <xdr:to>
      <xdr:col>16</xdr:col>
      <xdr:colOff>2514600</xdr:colOff>
      <xdr:row>35</xdr:row>
      <xdr:rowOff>0</xdr:rowOff>
    </xdr:to>
    <xdr:graphicFrame macro="">
      <xdr:nvGraphicFramePr>
        <xdr:cNvPr id="2153984" name="Chart 9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144780</xdr:colOff>
      <xdr:row>24</xdr:row>
      <xdr:rowOff>106680</xdr:rowOff>
    </xdr:from>
    <xdr:to>
      <xdr:col>20</xdr:col>
      <xdr:colOff>388620</xdr:colOff>
      <xdr:row>29</xdr:row>
      <xdr:rowOff>160020</xdr:rowOff>
    </xdr:to>
    <xdr:sp macro="" textlink="">
      <xdr:nvSpPr>
        <xdr:cNvPr id="2153985" name="Line 934"/>
        <xdr:cNvSpPr>
          <a:spLocks noChangeShapeType="1"/>
        </xdr:cNvSpPr>
      </xdr:nvSpPr>
      <xdr:spPr bwMode="auto">
        <a:xfrm flipV="1">
          <a:off x="12352020" y="3177540"/>
          <a:ext cx="2453640" cy="967740"/>
        </a:xfrm>
        <a:prstGeom prst="line">
          <a:avLst/>
        </a:prstGeom>
        <a:noFill/>
        <a:ln w="57150">
          <a:solidFill>
            <a:srgbClr val="C0C0C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175260</xdr:colOff>
      <xdr:row>32</xdr:row>
      <xdr:rowOff>137160</xdr:rowOff>
    </xdr:from>
    <xdr:to>
      <xdr:col>32</xdr:col>
      <xdr:colOff>541020</xdr:colOff>
      <xdr:row>32</xdr:row>
      <xdr:rowOff>137160</xdr:rowOff>
    </xdr:to>
    <xdr:sp macro="" textlink="">
      <xdr:nvSpPr>
        <xdr:cNvPr id="2153986" name="Line 935"/>
        <xdr:cNvSpPr>
          <a:spLocks noChangeShapeType="1"/>
        </xdr:cNvSpPr>
      </xdr:nvSpPr>
      <xdr:spPr bwMode="auto">
        <a:xfrm flipV="1">
          <a:off x="17686020" y="4442460"/>
          <a:ext cx="4282440" cy="0"/>
        </a:xfrm>
        <a:prstGeom prst="line">
          <a:avLst/>
        </a:prstGeom>
        <a:noFill/>
        <a:ln w="57150">
          <a:solidFill>
            <a:srgbClr val="C0C0C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38100</xdr:colOff>
      <xdr:row>10</xdr:row>
      <xdr:rowOff>137160</xdr:rowOff>
    </xdr:from>
    <xdr:to>
      <xdr:col>33</xdr:col>
      <xdr:colOff>2522220</xdr:colOff>
      <xdr:row>32</xdr:row>
      <xdr:rowOff>152400</xdr:rowOff>
    </xdr:to>
    <xdr:graphicFrame macro="">
      <xdr:nvGraphicFramePr>
        <xdr:cNvPr id="2153987" name="Chart 9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38100</xdr:colOff>
      <xdr:row>35</xdr:row>
      <xdr:rowOff>91440</xdr:rowOff>
    </xdr:from>
    <xdr:to>
      <xdr:col>16</xdr:col>
      <xdr:colOff>2513753</xdr:colOff>
      <xdr:row>51</xdr:row>
      <xdr:rowOff>0</xdr:rowOff>
    </xdr:to>
    <xdr:graphicFrame macro="">
      <xdr:nvGraphicFramePr>
        <xdr:cNvPr id="2153988" name="Chart 9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33</xdr:col>
      <xdr:colOff>45720</xdr:colOff>
      <xdr:row>33</xdr:row>
      <xdr:rowOff>83820</xdr:rowOff>
    </xdr:from>
    <xdr:to>
      <xdr:col>33</xdr:col>
      <xdr:colOff>2529840</xdr:colOff>
      <xdr:row>51</xdr:row>
      <xdr:rowOff>7620</xdr:rowOff>
    </xdr:to>
    <xdr:graphicFrame macro="">
      <xdr:nvGraphicFramePr>
        <xdr:cNvPr id="2153989" name="Chart 9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662940</xdr:colOff>
      <xdr:row>170</xdr:row>
      <xdr:rowOff>0</xdr:rowOff>
    </xdr:from>
    <xdr:to>
      <xdr:col>1</xdr:col>
      <xdr:colOff>662940</xdr:colOff>
      <xdr:row>179</xdr:row>
      <xdr:rowOff>205740</xdr:rowOff>
    </xdr:to>
    <xdr:sp macro="" textlink="">
      <xdr:nvSpPr>
        <xdr:cNvPr id="20" name="Line 235"/>
        <xdr:cNvSpPr>
          <a:spLocks noChangeShapeType="1"/>
        </xdr:cNvSpPr>
      </xdr:nvSpPr>
      <xdr:spPr bwMode="auto">
        <a:xfrm>
          <a:off x="909430" y="31272480"/>
          <a:ext cx="0" cy="1652877"/>
        </a:xfrm>
        <a:prstGeom prst="line">
          <a:avLst/>
        </a:prstGeom>
        <a:noFill/>
        <a:ln w="76200">
          <a:solidFill>
            <a:srgbClr val="C0C0C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662940</xdr:colOff>
      <xdr:row>170</xdr:row>
      <xdr:rowOff>0</xdr:rowOff>
    </xdr:from>
    <xdr:to>
      <xdr:col>1</xdr:col>
      <xdr:colOff>662940</xdr:colOff>
      <xdr:row>179</xdr:row>
      <xdr:rowOff>205740</xdr:rowOff>
    </xdr:to>
    <xdr:sp macro="" textlink="">
      <xdr:nvSpPr>
        <xdr:cNvPr id="21" name="Line 320"/>
        <xdr:cNvSpPr>
          <a:spLocks noChangeShapeType="1"/>
        </xdr:cNvSpPr>
      </xdr:nvSpPr>
      <xdr:spPr bwMode="auto">
        <a:xfrm>
          <a:off x="909430" y="31272480"/>
          <a:ext cx="0" cy="1652877"/>
        </a:xfrm>
        <a:prstGeom prst="line">
          <a:avLst/>
        </a:prstGeom>
        <a:noFill/>
        <a:ln w="76200">
          <a:solidFill>
            <a:srgbClr val="C0C0C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c:userShapes xmlns:c="http://schemas.openxmlformats.org/drawingml/2006/chart">
  <cdr:relSizeAnchor xmlns:cdr="http://schemas.openxmlformats.org/drawingml/2006/chartDrawing">
    <cdr:from>
      <cdr:x>0.02902</cdr:x>
      <cdr:y>0.02078</cdr:y>
    </cdr:from>
    <cdr:to>
      <cdr:x>0.38064</cdr:x>
      <cdr:y>0.09397</cdr:y>
    </cdr:to>
    <cdr:sp macro="" textlink="">
      <cdr:nvSpPr>
        <cdr:cNvPr id="81922" name="Text Box 2"/>
        <cdr:cNvSpPr txBox="1">
          <a:spLocks xmlns:a="http://schemas.openxmlformats.org/drawingml/2006/main" noChangeArrowheads="1"/>
        </cdr:cNvSpPr>
      </cdr:nvSpPr>
      <cdr:spPr bwMode="auto">
        <a:xfrm xmlns:a="http://schemas.openxmlformats.org/drawingml/2006/main">
          <a:off x="71863" y="51673"/>
          <a:ext cx="870787" cy="1820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Raw Data</a:t>
          </a:r>
        </a:p>
      </cdr:txBody>
    </cdr:sp>
  </cdr:relSizeAnchor>
</c:userShapes>
</file>

<file path=xl/drawings/drawing3.xml><?xml version="1.0" encoding="utf-8"?>
<c:userShapes xmlns:c="http://schemas.openxmlformats.org/drawingml/2006/chart">
  <cdr:relSizeAnchor xmlns:cdr="http://schemas.openxmlformats.org/drawingml/2006/chartDrawing">
    <cdr:from>
      <cdr:x>0.0285</cdr:x>
      <cdr:y>0.01453</cdr:y>
    </cdr:from>
    <cdr:to>
      <cdr:x>0.39354</cdr:x>
      <cdr:y>0.08152</cdr:y>
    </cdr:to>
    <cdr:sp macro="" textlink="">
      <cdr:nvSpPr>
        <cdr:cNvPr id="82946" name="Text Box 2"/>
        <cdr:cNvSpPr txBox="1">
          <a:spLocks xmlns:a="http://schemas.openxmlformats.org/drawingml/2006/main" noChangeArrowheads="1"/>
        </cdr:cNvSpPr>
      </cdr:nvSpPr>
      <cdr:spPr bwMode="auto">
        <a:xfrm xmlns:a="http://schemas.openxmlformats.org/drawingml/2006/main">
          <a:off x="70580" y="34558"/>
          <a:ext cx="904021" cy="1593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Raw Data</a:t>
          </a:r>
        </a:p>
      </cdr:txBody>
    </cdr:sp>
  </cdr:relSizeAnchor>
</c:userShapes>
</file>

<file path=xl/drawings/drawing4.xml><?xml version="1.0" encoding="utf-8"?>
<c:userShapes xmlns:c="http://schemas.openxmlformats.org/drawingml/2006/chart">
  <cdr:relSizeAnchor xmlns:cdr="http://schemas.openxmlformats.org/drawingml/2006/chartDrawing">
    <cdr:from>
      <cdr:x>0.04593</cdr:x>
      <cdr:y>0.0098</cdr:y>
    </cdr:from>
    <cdr:to>
      <cdr:x>0.41166</cdr:x>
      <cdr:y>0.07043</cdr:y>
    </cdr:to>
    <cdr:sp macro="" textlink="">
      <cdr:nvSpPr>
        <cdr:cNvPr id="83970" name="Text Box 2"/>
        <cdr:cNvSpPr txBox="1">
          <a:spLocks xmlns:a="http://schemas.openxmlformats.org/drawingml/2006/main" noChangeArrowheads="1"/>
        </cdr:cNvSpPr>
      </cdr:nvSpPr>
      <cdr:spPr bwMode="auto">
        <a:xfrm xmlns:a="http://schemas.openxmlformats.org/drawingml/2006/main">
          <a:off x="113737" y="26748"/>
          <a:ext cx="905731" cy="16544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Raw Data</a:t>
          </a:r>
        </a:p>
      </cdr:txBody>
    </cdr:sp>
  </cdr:relSizeAnchor>
</c:userShapes>
</file>

<file path=xl/drawings/drawing5.xml><?xml version="1.0" encoding="utf-8"?>
<c:userShapes xmlns:c="http://schemas.openxmlformats.org/drawingml/2006/chart">
  <cdr:relSizeAnchor xmlns:cdr="http://schemas.openxmlformats.org/drawingml/2006/chartDrawing">
    <cdr:from>
      <cdr:x>0.07079</cdr:x>
      <cdr:y>0.02141</cdr:y>
    </cdr:from>
    <cdr:to>
      <cdr:x>0.49003</cdr:x>
      <cdr:y>0.09492</cdr:y>
    </cdr:to>
    <cdr:sp macro="" textlink="">
      <cdr:nvSpPr>
        <cdr:cNvPr id="84994" name="Text Box 2"/>
        <cdr:cNvSpPr txBox="1">
          <a:spLocks xmlns:a="http://schemas.openxmlformats.org/drawingml/2006/main" noChangeArrowheads="1"/>
        </cdr:cNvSpPr>
      </cdr:nvSpPr>
      <cdr:spPr bwMode="auto">
        <a:xfrm xmlns:a="http://schemas.openxmlformats.org/drawingml/2006/main">
          <a:off x="175311" y="57482"/>
          <a:ext cx="1038248" cy="1973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Raw Data</a:t>
          </a:r>
        </a:p>
      </cdr:txBody>
    </cdr:sp>
  </cdr:relSizeAnchor>
</c:userShapes>
</file>

<file path=xl/drawings/drawing6.xml><?xml version="1.0" encoding="utf-8"?>
<c:userShapes xmlns:c="http://schemas.openxmlformats.org/drawingml/2006/chart">
  <cdr:relSizeAnchor xmlns:cdr="http://schemas.openxmlformats.org/drawingml/2006/chartDrawing">
    <cdr:from>
      <cdr:x>0.07965</cdr:x>
      <cdr:y>0.02131</cdr:y>
    </cdr:from>
    <cdr:to>
      <cdr:x>0.55338</cdr:x>
      <cdr:y>0.09255</cdr:y>
    </cdr:to>
    <cdr:sp macro="" textlink="">
      <cdr:nvSpPr>
        <cdr:cNvPr id="86018" name="Text Box 2"/>
        <cdr:cNvSpPr txBox="1">
          <a:spLocks xmlns:a="http://schemas.openxmlformats.org/drawingml/2006/main" noChangeArrowheads="1"/>
        </cdr:cNvSpPr>
      </cdr:nvSpPr>
      <cdr:spPr bwMode="auto">
        <a:xfrm xmlns:a="http://schemas.openxmlformats.org/drawingml/2006/main">
          <a:off x="197253" y="51382"/>
          <a:ext cx="1173193" cy="1717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Log-transformed</a:t>
          </a:r>
        </a:p>
      </cdr:txBody>
    </cdr:sp>
  </cdr:relSizeAnchor>
</c:userShapes>
</file>

<file path=xl/drawings/drawing7.xml><?xml version="1.0" encoding="utf-8"?>
<c:userShapes xmlns:c="http://schemas.openxmlformats.org/drawingml/2006/chart">
  <cdr:relSizeAnchor xmlns:cdr="http://schemas.openxmlformats.org/drawingml/2006/chartDrawing">
    <cdr:from>
      <cdr:x>0.01825</cdr:x>
      <cdr:y>0.02165</cdr:y>
    </cdr:from>
    <cdr:to>
      <cdr:x>0.50183</cdr:x>
      <cdr:y>0.08861</cdr:y>
    </cdr:to>
    <cdr:sp macro="" textlink="">
      <cdr:nvSpPr>
        <cdr:cNvPr id="87042" name="Text Box 1026"/>
        <cdr:cNvSpPr txBox="1">
          <a:spLocks xmlns:a="http://schemas.openxmlformats.org/drawingml/2006/main" noChangeArrowheads="1"/>
        </cdr:cNvSpPr>
      </cdr:nvSpPr>
      <cdr:spPr bwMode="auto">
        <a:xfrm xmlns:a="http://schemas.openxmlformats.org/drawingml/2006/main">
          <a:off x="45196" y="55855"/>
          <a:ext cx="1197586" cy="1727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Log-transformed</a:t>
          </a:r>
        </a:p>
      </cdr:txBody>
    </cdr:sp>
  </cdr:relSizeAnchor>
</c:userShapes>
</file>

<file path=xl/drawings/drawing8.xml><?xml version="1.0" encoding="utf-8"?>
<c:userShapes xmlns:c="http://schemas.openxmlformats.org/drawingml/2006/chart">
  <cdr:relSizeAnchor xmlns:cdr="http://schemas.openxmlformats.org/drawingml/2006/chartDrawing">
    <cdr:from>
      <cdr:x>0.01777</cdr:x>
      <cdr:y>0.01815</cdr:y>
    </cdr:from>
    <cdr:to>
      <cdr:x>0.54864</cdr:x>
      <cdr:y>0.07851</cdr:y>
    </cdr:to>
    <cdr:sp macro="" textlink="">
      <cdr:nvSpPr>
        <cdr:cNvPr id="88066" name="Text Box 1026"/>
        <cdr:cNvSpPr txBox="1">
          <a:spLocks xmlns:a="http://schemas.openxmlformats.org/drawingml/2006/main" noChangeArrowheads="1"/>
        </cdr:cNvSpPr>
      </cdr:nvSpPr>
      <cdr:spPr bwMode="auto">
        <a:xfrm xmlns:a="http://schemas.openxmlformats.org/drawingml/2006/main">
          <a:off x="44007" y="47813"/>
          <a:ext cx="1314700" cy="1590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Log-transformed</a:t>
          </a:r>
        </a:p>
      </cdr:txBody>
    </cdr:sp>
  </cdr:relSizeAnchor>
</c:userShapes>
</file>

<file path=xl/drawings/drawing9.xml><?xml version="1.0" encoding="utf-8"?>
<c:userShapes xmlns:c="http://schemas.openxmlformats.org/drawingml/2006/chart">
  <cdr:relSizeAnchor xmlns:cdr="http://schemas.openxmlformats.org/drawingml/2006/chartDrawing">
    <cdr:from>
      <cdr:x>0.01921</cdr:x>
      <cdr:y>0.02165</cdr:y>
    </cdr:from>
    <cdr:to>
      <cdr:x>0.52272</cdr:x>
      <cdr:y>0.08087</cdr:y>
    </cdr:to>
    <cdr:sp macro="" textlink="">
      <cdr:nvSpPr>
        <cdr:cNvPr id="89090" name="Text Box 1026"/>
        <cdr:cNvSpPr txBox="1">
          <a:spLocks xmlns:a="http://schemas.openxmlformats.org/drawingml/2006/main" noChangeArrowheads="1"/>
        </cdr:cNvSpPr>
      </cdr:nvSpPr>
      <cdr:spPr bwMode="auto">
        <a:xfrm xmlns:a="http://schemas.openxmlformats.org/drawingml/2006/main">
          <a:off x="47574" y="59745"/>
          <a:ext cx="1246942" cy="1634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Log-transformed</a:t>
          </a:r>
        </a:p>
      </cdr:txBody>
    </cdr:sp>
  </cdr:relSizeAnchor>
</c:userShapes>
</file>

<file path=xl/drawings/drawing10.xml><?xml version="1.0" encoding="utf-8"?>
<c:userShapes xmlns:c="http://schemas.openxmlformats.org/drawingml/2006/chart">
  <cdr:relSizeAnchor xmlns:cdr="http://schemas.openxmlformats.org/drawingml/2006/chartDrawing">
    <cdr:from>
      <cdr:x>0.03258</cdr:x>
      <cdr:y>0.02024</cdr:y>
    </cdr:from>
    <cdr:to>
      <cdr:x>0.34701</cdr:x>
      <cdr:y>0.15602</cdr:y>
    </cdr:to>
    <cdr:sp macro="" textlink="">
      <cdr:nvSpPr>
        <cdr:cNvPr id="194562" name="Text Box 2"/>
        <cdr:cNvSpPr txBox="1">
          <a:spLocks xmlns:a="http://schemas.openxmlformats.org/drawingml/2006/main" noChangeArrowheads="1"/>
        </cdr:cNvSpPr>
      </cdr:nvSpPr>
      <cdr:spPr bwMode="auto">
        <a:xfrm xmlns:a="http://schemas.openxmlformats.org/drawingml/2006/main">
          <a:off x="82887" y="50800"/>
          <a:ext cx="781181" cy="3075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Raw Data</a:t>
          </a:r>
        </a:p>
      </cdr:txBody>
    </cdr:sp>
  </cdr:relSizeAnchor>
</c:userShapes>
</file>

<file path=xl/drawings/drawing11.xml><?xml version="1.0" encoding="utf-8"?>
<c:userShapes xmlns:c="http://schemas.openxmlformats.org/drawingml/2006/chart">
  <cdr:relSizeAnchor xmlns:cdr="http://schemas.openxmlformats.org/drawingml/2006/chartDrawing">
    <cdr:from>
      <cdr:x>0.03618</cdr:x>
      <cdr:y>0.02024</cdr:y>
    </cdr:from>
    <cdr:to>
      <cdr:x>0.55759</cdr:x>
      <cdr:y>0.14809</cdr:y>
    </cdr:to>
    <cdr:sp macro="" textlink="">
      <cdr:nvSpPr>
        <cdr:cNvPr id="201730" name="Text Box 2"/>
        <cdr:cNvSpPr txBox="1">
          <a:spLocks xmlns:a="http://schemas.openxmlformats.org/drawingml/2006/main" noChangeArrowheads="1"/>
        </cdr:cNvSpPr>
      </cdr:nvSpPr>
      <cdr:spPr bwMode="auto">
        <a:xfrm xmlns:a="http://schemas.openxmlformats.org/drawingml/2006/main">
          <a:off x="78220" y="50800"/>
          <a:ext cx="1202400" cy="2291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Back-transformed Data</a:t>
          </a:r>
        </a:p>
      </cdr:txBody>
    </cdr:sp>
  </cdr:relSizeAnchor>
</c:userShapes>
</file>

<file path=xl/drawings/drawing12.xml><?xml version="1.0" encoding="utf-8"?>
<c:userShapes xmlns:c="http://schemas.openxmlformats.org/drawingml/2006/chart">
  <cdr:relSizeAnchor xmlns:cdr="http://schemas.openxmlformats.org/drawingml/2006/chartDrawing">
    <cdr:from>
      <cdr:x>0.03258</cdr:x>
      <cdr:y>0.02024</cdr:y>
    </cdr:from>
    <cdr:to>
      <cdr:x>0.34701</cdr:x>
      <cdr:y>0.15602</cdr:y>
    </cdr:to>
    <cdr:sp macro="" textlink="">
      <cdr:nvSpPr>
        <cdr:cNvPr id="194562" name="Text Box 2"/>
        <cdr:cNvSpPr txBox="1">
          <a:spLocks xmlns:a="http://schemas.openxmlformats.org/drawingml/2006/main" noChangeArrowheads="1"/>
        </cdr:cNvSpPr>
      </cdr:nvSpPr>
      <cdr:spPr bwMode="auto">
        <a:xfrm xmlns:a="http://schemas.openxmlformats.org/drawingml/2006/main">
          <a:off x="82887" y="50800"/>
          <a:ext cx="781181" cy="3075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Raw Data</a:t>
          </a:r>
        </a:p>
      </cdr:txBody>
    </cdr:sp>
  </cdr:relSizeAnchor>
</c:userShapes>
</file>

<file path=xl/drawings/drawing13.xml><?xml version="1.0" encoding="utf-8"?>
<c:userShapes xmlns:c="http://schemas.openxmlformats.org/drawingml/2006/chart">
  <cdr:relSizeAnchor xmlns:cdr="http://schemas.openxmlformats.org/drawingml/2006/chartDrawing">
    <cdr:from>
      <cdr:x>0.03618</cdr:x>
      <cdr:y>0.02024</cdr:y>
    </cdr:from>
    <cdr:to>
      <cdr:x>0.55759</cdr:x>
      <cdr:y>0.14809</cdr:y>
    </cdr:to>
    <cdr:sp macro="" textlink="">
      <cdr:nvSpPr>
        <cdr:cNvPr id="201730" name="Text Box 2"/>
        <cdr:cNvSpPr txBox="1">
          <a:spLocks xmlns:a="http://schemas.openxmlformats.org/drawingml/2006/main" noChangeArrowheads="1"/>
        </cdr:cNvSpPr>
      </cdr:nvSpPr>
      <cdr:spPr bwMode="auto">
        <a:xfrm xmlns:a="http://schemas.openxmlformats.org/drawingml/2006/main">
          <a:off x="78220" y="50800"/>
          <a:ext cx="1202400" cy="2291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Back-transformed Data</a:t>
          </a:r>
        </a:p>
      </cdr:txBody>
    </cdr:sp>
  </cdr:relSizeAnchor>
</c:userShapes>
</file>

<file path=xl/drawings/drawing14.xml><?xml version="1.0" encoding="utf-8"?>
<xdr:wsDr xmlns:xdr="http://schemas.openxmlformats.org/drawingml/2006/spreadsheetDrawing" xmlns:a="http://schemas.openxmlformats.org/drawingml/2006/main">
  <xdr:twoCellAnchor>
    <xdr:from>
      <xdr:col>12</xdr:col>
      <xdr:colOff>30480</xdr:colOff>
      <xdr:row>10</xdr:row>
      <xdr:rowOff>99060</xdr:rowOff>
    </xdr:from>
    <xdr:to>
      <xdr:col>12</xdr:col>
      <xdr:colOff>2514600</xdr:colOff>
      <xdr:row>30</xdr:row>
      <xdr:rowOff>0</xdr:rowOff>
    </xdr:to>
    <xdr:graphicFrame macro="">
      <xdr:nvGraphicFramePr>
        <xdr:cNvPr id="14" name="Chart 9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142875</xdr:colOff>
      <xdr:row>11</xdr:row>
      <xdr:rowOff>9524</xdr:rowOff>
    </xdr:from>
    <xdr:to>
      <xdr:col>16</xdr:col>
      <xdr:colOff>400049</xdr:colOff>
      <xdr:row>28</xdr:row>
      <xdr:rowOff>95249</xdr:rowOff>
    </xdr:to>
    <xdr:sp macro="" textlink="">
      <xdr:nvSpPr>
        <xdr:cNvPr id="15" name="Line 934"/>
        <xdr:cNvSpPr>
          <a:spLocks noChangeShapeType="1"/>
        </xdr:cNvSpPr>
      </xdr:nvSpPr>
      <xdr:spPr bwMode="auto">
        <a:xfrm flipV="1">
          <a:off x="9953625" y="2162174"/>
          <a:ext cx="2466974" cy="2714625"/>
        </a:xfrm>
        <a:prstGeom prst="line">
          <a:avLst/>
        </a:prstGeom>
        <a:noFill/>
        <a:ln w="57150">
          <a:solidFill>
            <a:srgbClr val="C0C0C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175260</xdr:colOff>
      <xdr:row>27</xdr:row>
      <xdr:rowOff>137160</xdr:rowOff>
    </xdr:from>
    <xdr:to>
      <xdr:col>25</xdr:col>
      <xdr:colOff>0</xdr:colOff>
      <xdr:row>27</xdr:row>
      <xdr:rowOff>137160</xdr:rowOff>
    </xdr:to>
    <xdr:sp macro="" textlink="">
      <xdr:nvSpPr>
        <xdr:cNvPr id="16" name="Line 935"/>
        <xdr:cNvSpPr>
          <a:spLocks noChangeShapeType="1"/>
        </xdr:cNvSpPr>
      </xdr:nvSpPr>
      <xdr:spPr bwMode="auto">
        <a:xfrm flipV="1">
          <a:off x="17960340" y="4602480"/>
          <a:ext cx="4579620" cy="0"/>
        </a:xfrm>
        <a:prstGeom prst="line">
          <a:avLst/>
        </a:prstGeom>
        <a:noFill/>
        <a:ln w="57150">
          <a:solidFill>
            <a:srgbClr val="C0C0C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38100</xdr:colOff>
      <xdr:row>6</xdr:row>
      <xdr:rowOff>137160</xdr:rowOff>
    </xdr:from>
    <xdr:to>
      <xdr:col>25</xdr:col>
      <xdr:colOff>2522220</xdr:colOff>
      <xdr:row>27</xdr:row>
      <xdr:rowOff>152400</xdr:rowOff>
    </xdr:to>
    <xdr:graphicFrame macro="">
      <xdr:nvGraphicFramePr>
        <xdr:cNvPr id="17" name="Chart 9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38100</xdr:colOff>
      <xdr:row>30</xdr:row>
      <xdr:rowOff>91440</xdr:rowOff>
    </xdr:from>
    <xdr:to>
      <xdr:col>12</xdr:col>
      <xdr:colOff>2522220</xdr:colOff>
      <xdr:row>46</xdr:row>
      <xdr:rowOff>0</xdr:rowOff>
    </xdr:to>
    <xdr:graphicFrame macro="">
      <xdr:nvGraphicFramePr>
        <xdr:cNvPr id="18" name="Chart 9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45720</xdr:colOff>
      <xdr:row>28</xdr:row>
      <xdr:rowOff>114300</xdr:rowOff>
    </xdr:from>
    <xdr:to>
      <xdr:col>25</xdr:col>
      <xdr:colOff>2529840</xdr:colOff>
      <xdr:row>46</xdr:row>
      <xdr:rowOff>38100</xdr:rowOff>
    </xdr:to>
    <xdr:graphicFrame macro="">
      <xdr:nvGraphicFramePr>
        <xdr:cNvPr id="19" name="Chart 9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76200</xdr:colOff>
      <xdr:row>6</xdr:row>
      <xdr:rowOff>133350</xdr:rowOff>
    </xdr:from>
    <xdr:to>
      <xdr:col>30</xdr:col>
      <xdr:colOff>121920</xdr:colOff>
      <xdr:row>27</xdr:row>
      <xdr:rowOff>148590</xdr:rowOff>
    </xdr:to>
    <xdr:graphicFrame macro="">
      <xdr:nvGraphicFramePr>
        <xdr:cNvPr id="20" name="Chart 9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83820</xdr:colOff>
      <xdr:row>28</xdr:row>
      <xdr:rowOff>110490</xdr:rowOff>
    </xdr:from>
    <xdr:to>
      <xdr:col>30</xdr:col>
      <xdr:colOff>129540</xdr:colOff>
      <xdr:row>46</xdr:row>
      <xdr:rowOff>34290</xdr:rowOff>
    </xdr:to>
    <xdr:graphicFrame macro="">
      <xdr:nvGraphicFramePr>
        <xdr:cNvPr id="21" name="Chart 9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0.03258</cdr:x>
      <cdr:y>0.02024</cdr:y>
    </cdr:from>
    <cdr:to>
      <cdr:x>0.34701</cdr:x>
      <cdr:y>0.15602</cdr:y>
    </cdr:to>
    <cdr:sp macro="" textlink="">
      <cdr:nvSpPr>
        <cdr:cNvPr id="194562" name="Text Box 2"/>
        <cdr:cNvSpPr txBox="1">
          <a:spLocks xmlns:a="http://schemas.openxmlformats.org/drawingml/2006/main" noChangeArrowheads="1"/>
        </cdr:cNvSpPr>
      </cdr:nvSpPr>
      <cdr:spPr bwMode="auto">
        <a:xfrm xmlns:a="http://schemas.openxmlformats.org/drawingml/2006/main">
          <a:off x="82887" y="50800"/>
          <a:ext cx="781181" cy="3075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Raw Data</a:t>
          </a:r>
        </a:p>
      </cdr:txBody>
    </cdr:sp>
  </cdr:relSizeAnchor>
</c:userShapes>
</file>

<file path=xl/drawings/drawing16.xml><?xml version="1.0" encoding="utf-8"?>
<c:userShapes xmlns:c="http://schemas.openxmlformats.org/drawingml/2006/chart">
  <cdr:relSizeAnchor xmlns:cdr="http://schemas.openxmlformats.org/drawingml/2006/chartDrawing">
    <cdr:from>
      <cdr:x>0.03618</cdr:x>
      <cdr:y>0.02024</cdr:y>
    </cdr:from>
    <cdr:to>
      <cdr:x>0.55759</cdr:x>
      <cdr:y>0.07507</cdr:y>
    </cdr:to>
    <cdr:sp macro="" textlink="">
      <cdr:nvSpPr>
        <cdr:cNvPr id="201730" name="Text Box 2"/>
        <cdr:cNvSpPr txBox="1">
          <a:spLocks xmlns:a="http://schemas.openxmlformats.org/drawingml/2006/main" noChangeArrowheads="1"/>
        </cdr:cNvSpPr>
      </cdr:nvSpPr>
      <cdr:spPr bwMode="auto">
        <a:xfrm xmlns:a="http://schemas.openxmlformats.org/drawingml/2006/main">
          <a:off x="89875" y="65746"/>
          <a:ext cx="1295245" cy="1780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Back-transformed Data</a:t>
          </a:r>
        </a:p>
      </cdr:txBody>
    </cdr:sp>
  </cdr:relSizeAnchor>
</c:userShapes>
</file>

<file path=xl/drawings/drawing17.xml><?xml version="1.0" encoding="utf-8"?>
<c:userShapes xmlns:c="http://schemas.openxmlformats.org/drawingml/2006/chart">
  <cdr:relSizeAnchor xmlns:cdr="http://schemas.openxmlformats.org/drawingml/2006/chartDrawing">
    <cdr:from>
      <cdr:x>0.03258</cdr:x>
      <cdr:y>0.02024</cdr:y>
    </cdr:from>
    <cdr:to>
      <cdr:x>0.34701</cdr:x>
      <cdr:y>0.15602</cdr:y>
    </cdr:to>
    <cdr:sp macro="" textlink="">
      <cdr:nvSpPr>
        <cdr:cNvPr id="194562" name="Text Box 2"/>
        <cdr:cNvSpPr txBox="1">
          <a:spLocks xmlns:a="http://schemas.openxmlformats.org/drawingml/2006/main" noChangeArrowheads="1"/>
        </cdr:cNvSpPr>
      </cdr:nvSpPr>
      <cdr:spPr bwMode="auto">
        <a:xfrm xmlns:a="http://schemas.openxmlformats.org/drawingml/2006/main">
          <a:off x="82887" y="50800"/>
          <a:ext cx="781181" cy="3075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Raw Data</a:t>
          </a:r>
        </a:p>
      </cdr:txBody>
    </cdr:sp>
  </cdr:relSizeAnchor>
</c:userShapes>
</file>

<file path=xl/drawings/drawing18.xml><?xml version="1.0" encoding="utf-8"?>
<c:userShapes xmlns:c="http://schemas.openxmlformats.org/drawingml/2006/chart">
  <cdr:relSizeAnchor xmlns:cdr="http://schemas.openxmlformats.org/drawingml/2006/chartDrawing">
    <cdr:from>
      <cdr:x>0.03618</cdr:x>
      <cdr:y>0.02024</cdr:y>
    </cdr:from>
    <cdr:to>
      <cdr:x>0.55759</cdr:x>
      <cdr:y>0.07363</cdr:y>
    </cdr:to>
    <cdr:sp macro="" textlink="">
      <cdr:nvSpPr>
        <cdr:cNvPr id="201730" name="Text Box 2"/>
        <cdr:cNvSpPr txBox="1">
          <a:spLocks xmlns:a="http://schemas.openxmlformats.org/drawingml/2006/main" noChangeArrowheads="1"/>
        </cdr:cNvSpPr>
      </cdr:nvSpPr>
      <cdr:spPr bwMode="auto">
        <a:xfrm xmlns:a="http://schemas.openxmlformats.org/drawingml/2006/main">
          <a:off x="89875" y="64335"/>
          <a:ext cx="1295245" cy="1697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Back-transformed Data</a:t>
          </a:r>
        </a:p>
      </cdr:txBody>
    </cdr:sp>
  </cdr:relSizeAnchor>
</c:userShapes>
</file>

<file path=xl/drawings/drawing19.xml><?xml version="1.0" encoding="utf-8"?>
<c:userShapes xmlns:c="http://schemas.openxmlformats.org/drawingml/2006/chart">
  <cdr:relSizeAnchor xmlns:cdr="http://schemas.openxmlformats.org/drawingml/2006/chartDrawing">
    <cdr:from>
      <cdr:x>0.03618</cdr:x>
      <cdr:y>0.02024</cdr:y>
    </cdr:from>
    <cdr:to>
      <cdr:x>0.55759</cdr:x>
      <cdr:y>0.06619</cdr:y>
    </cdr:to>
    <cdr:sp macro="" textlink="">
      <cdr:nvSpPr>
        <cdr:cNvPr id="201730" name="Text Box 2"/>
        <cdr:cNvSpPr txBox="1">
          <a:spLocks xmlns:a="http://schemas.openxmlformats.org/drawingml/2006/main" noChangeArrowheads="1"/>
        </cdr:cNvSpPr>
      </cdr:nvSpPr>
      <cdr:spPr bwMode="auto">
        <a:xfrm xmlns:a="http://schemas.openxmlformats.org/drawingml/2006/main">
          <a:off x="89875" y="65746"/>
          <a:ext cx="1295245" cy="1492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Back-transformed Data</a:t>
          </a:r>
        </a:p>
      </cdr:txBody>
    </cdr:sp>
  </cdr:relSizeAnchor>
</c:userShapes>
</file>

<file path=xl/drawings/drawing20.xml><?xml version="1.0" encoding="utf-8"?>
<c:userShapes xmlns:c="http://schemas.openxmlformats.org/drawingml/2006/chart">
  <cdr:relSizeAnchor xmlns:cdr="http://schemas.openxmlformats.org/drawingml/2006/chartDrawing">
    <cdr:from>
      <cdr:x>0.03618</cdr:x>
      <cdr:y>0.02024</cdr:y>
    </cdr:from>
    <cdr:to>
      <cdr:x>0.55759</cdr:x>
      <cdr:y>0.06455</cdr:y>
    </cdr:to>
    <cdr:sp macro="" textlink="">
      <cdr:nvSpPr>
        <cdr:cNvPr id="201730" name="Text Box 2"/>
        <cdr:cNvSpPr txBox="1">
          <a:spLocks xmlns:a="http://schemas.openxmlformats.org/drawingml/2006/main" noChangeArrowheads="1"/>
        </cdr:cNvSpPr>
      </cdr:nvSpPr>
      <cdr:spPr bwMode="auto">
        <a:xfrm xmlns:a="http://schemas.openxmlformats.org/drawingml/2006/main">
          <a:off x="89875" y="64335"/>
          <a:ext cx="1295245" cy="1408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Back-transformed Data</a:t>
          </a:r>
        </a:p>
      </cdr:txBody>
    </cdr:sp>
  </cdr:relSizeAnchor>
</c:userShapes>
</file>

<file path=xl/theme/theme1.xml><?xml version="1.0" encoding="utf-8"?>
<a:theme xmlns:a="http://schemas.openxmlformats.org/drawingml/2006/main" name="Office Theme">
  <a:themeElements>
    <a:clrScheme name="Primaries">
      <a:dk1>
        <a:sysClr val="windowText" lastClr="000000"/>
      </a:dk1>
      <a:lt1>
        <a:sysClr val="window" lastClr="FFFFFF"/>
      </a:lt1>
      <a:dk2>
        <a:srgbClr val="1F497D"/>
      </a:dk2>
      <a:lt2>
        <a:srgbClr val="EEECE1"/>
      </a:lt2>
      <a:accent1>
        <a:srgbClr val="FF0000"/>
      </a:accent1>
      <a:accent2>
        <a:srgbClr val="FFC000"/>
      </a:accent2>
      <a:accent3>
        <a:srgbClr val="FFFF00"/>
      </a:accent3>
      <a:accent4>
        <a:srgbClr val="92D050"/>
      </a:accent4>
      <a:accent5>
        <a:srgbClr val="0070C0"/>
      </a:accent5>
      <a:accent6>
        <a:srgbClr val="7030A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85"/>
  <sheetViews>
    <sheetView tabSelected="1" zoomScaleNormal="100" workbookViewId="0"/>
  </sheetViews>
  <sheetFormatPr defaultRowHeight="12.75" x14ac:dyDescent="0.2"/>
  <cols>
    <col min="1" max="1" width="3.42578125" style="1" customWidth="1"/>
    <col min="2" max="2" width="15.5703125" customWidth="1"/>
    <col min="3" max="3" width="13.28515625" customWidth="1"/>
    <col min="4" max="4" width="7.5703125" customWidth="1"/>
    <col min="5" max="10" width="7.42578125" customWidth="1"/>
    <col min="11" max="11" width="17.28515625" customWidth="1"/>
    <col min="12" max="12" width="12.7109375" customWidth="1"/>
    <col min="13" max="16" width="9.7109375" customWidth="1"/>
    <col min="17" max="17" width="37.140625" style="1" customWidth="1"/>
    <col min="18" max="18" width="5.7109375" style="1" customWidth="1"/>
    <col min="19" max="19" width="15.7109375" customWidth="1"/>
    <col min="20" max="20" width="12.7109375" customWidth="1"/>
    <col min="21" max="21" width="7.85546875" customWidth="1"/>
    <col min="22" max="27" width="7.42578125" customWidth="1"/>
    <col min="28" max="28" width="17" customWidth="1"/>
    <col min="29" max="29" width="12.85546875" customWidth="1"/>
    <col min="30" max="33" width="9.7109375" customWidth="1"/>
    <col min="34" max="34" width="37.140625" style="1" customWidth="1"/>
    <col min="35" max="36" width="8.85546875" style="1"/>
  </cols>
  <sheetData>
    <row r="1" spans="1:39" s="330" customFormat="1" ht="15" x14ac:dyDescent="0.25">
      <c r="A1" s="56"/>
      <c r="B1" s="57" t="s">
        <v>193</v>
      </c>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39" s="353" customFormat="1" ht="13.15" customHeight="1" x14ac:dyDescent="0.2">
      <c r="A2" s="350"/>
      <c r="B2" s="351" t="s">
        <v>194</v>
      </c>
      <c r="C2" s="352"/>
      <c r="D2" s="352"/>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row>
    <row r="3" spans="1:39" s="353" customFormat="1" ht="12" customHeight="1" x14ac:dyDescent="0.2">
      <c r="A3" s="350"/>
      <c r="B3" s="382" t="s">
        <v>214</v>
      </c>
      <c r="C3" s="352"/>
      <c r="D3" s="352"/>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row>
    <row r="4" spans="1:39" s="353" customFormat="1" ht="12.6" customHeight="1" x14ac:dyDescent="0.2">
      <c r="A4" s="350"/>
      <c r="B4" s="564" t="s">
        <v>94</v>
      </c>
      <c r="C4" s="564"/>
      <c r="D4" s="354"/>
      <c r="E4" s="355"/>
      <c r="F4" s="518" t="s">
        <v>250</v>
      </c>
      <c r="G4" s="518">
        <v>2019</v>
      </c>
      <c r="H4" s="350">
        <v>2018</v>
      </c>
      <c r="I4" s="356">
        <v>2017</v>
      </c>
      <c r="J4" s="355"/>
      <c r="K4" s="355"/>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row>
    <row r="5" spans="1:39" s="353" customFormat="1" ht="12" customHeight="1" x14ac:dyDescent="0.2">
      <c r="A5" s="350"/>
      <c r="B5" s="349" t="s">
        <v>195</v>
      </c>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row>
    <row r="6" spans="1:39" s="357" customFormat="1" x14ac:dyDescent="0.2">
      <c r="A6" s="349"/>
      <c r="B6" s="349" t="s">
        <v>200</v>
      </c>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row>
    <row r="7" spans="1:39" s="357" customFormat="1" x14ac:dyDescent="0.2">
      <c r="A7" s="349"/>
      <c r="B7" s="349" t="s">
        <v>125</v>
      </c>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row>
    <row r="8" spans="1:39" s="353" customFormat="1" ht="12" customHeight="1" x14ac:dyDescent="0.2">
      <c r="A8" s="350"/>
      <c r="B8" s="349" t="s">
        <v>196</v>
      </c>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49" t="s">
        <v>123</v>
      </c>
      <c r="AI8" s="350"/>
      <c r="AJ8" s="350"/>
      <c r="AK8" s="350"/>
      <c r="AL8" s="350"/>
    </row>
    <row r="9" spans="1:39" s="353" customFormat="1" ht="12" customHeight="1" x14ac:dyDescent="0.2">
      <c r="A9" s="350"/>
      <c r="B9" s="349" t="s">
        <v>178</v>
      </c>
      <c r="C9" s="358"/>
      <c r="D9" s="358"/>
      <c r="E9" s="358"/>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49" t="s">
        <v>121</v>
      </c>
      <c r="AI9" s="350"/>
      <c r="AJ9" s="350"/>
      <c r="AK9" s="350"/>
      <c r="AL9" s="350"/>
    </row>
    <row r="10" spans="1:39" s="353" customFormat="1" ht="12" customHeight="1" x14ac:dyDescent="0.2">
      <c r="A10" s="350"/>
      <c r="B10" s="350" t="s">
        <v>59</v>
      </c>
      <c r="C10" s="358"/>
      <c r="D10" s="358"/>
      <c r="E10" s="358"/>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49" t="s">
        <v>122</v>
      </c>
      <c r="AI10" s="350"/>
      <c r="AJ10" s="350"/>
      <c r="AK10" s="350"/>
      <c r="AL10" s="350"/>
    </row>
    <row r="11" spans="1:39" s="353" customFormat="1" ht="12" customHeight="1" x14ac:dyDescent="0.2">
      <c r="A11" s="350"/>
      <c r="B11" s="349" t="s">
        <v>36</v>
      </c>
      <c r="C11" s="358"/>
      <c r="D11" s="358"/>
      <c r="E11" s="358"/>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row>
    <row r="12" spans="1:39" s="353" customFormat="1" ht="12" customHeight="1" x14ac:dyDescent="0.2">
      <c r="A12" s="350"/>
      <c r="B12" s="350" t="s">
        <v>126</v>
      </c>
      <c r="C12" s="358"/>
      <c r="D12" s="358"/>
      <c r="E12" s="358"/>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row>
    <row r="13" spans="1:39" s="353" customFormat="1" ht="12" customHeight="1" x14ac:dyDescent="0.2">
      <c r="A13" s="350"/>
      <c r="B13" s="350" t="s">
        <v>65</v>
      </c>
      <c r="C13" s="358"/>
      <c r="D13" s="358"/>
      <c r="E13" s="358"/>
      <c r="F13" s="350"/>
      <c r="G13" s="350"/>
      <c r="H13" s="350"/>
      <c r="I13" s="350"/>
      <c r="J13" s="350"/>
      <c r="K13" s="350"/>
      <c r="L13" s="350"/>
      <c r="M13" s="350"/>
      <c r="N13" s="350"/>
      <c r="O13" s="350"/>
      <c r="P13" s="350"/>
      <c r="Q13" s="350"/>
      <c r="R13" s="350"/>
      <c r="S13" s="350"/>
      <c r="T13" s="359"/>
      <c r="U13" s="360"/>
      <c r="V13" s="361" t="s">
        <v>118</v>
      </c>
      <c r="W13" s="362">
        <v>0.06</v>
      </c>
      <c r="X13" s="350"/>
      <c r="Y13" s="350"/>
      <c r="Z13" s="350"/>
      <c r="AA13" s="350"/>
      <c r="AB13" s="350"/>
      <c r="AC13" s="350"/>
      <c r="AD13" s="350"/>
      <c r="AE13" s="350"/>
      <c r="AF13" s="350"/>
      <c r="AG13" s="350"/>
      <c r="AH13" s="350"/>
      <c r="AI13" s="350"/>
      <c r="AJ13" s="350"/>
      <c r="AK13" s="350"/>
      <c r="AL13" s="350"/>
    </row>
    <row r="14" spans="1:39" s="353" customFormat="1" ht="12" customHeight="1" x14ac:dyDescent="0.2">
      <c r="A14" s="350"/>
      <c r="B14" s="350" t="s">
        <v>39</v>
      </c>
      <c r="C14" s="358"/>
      <c r="D14" s="358"/>
      <c r="E14" s="358"/>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row>
    <row r="15" spans="1:39" s="353" customFormat="1" ht="12" customHeight="1" x14ac:dyDescent="0.2">
      <c r="A15" s="350"/>
      <c r="B15" s="358" t="s">
        <v>19</v>
      </c>
      <c r="C15" s="358"/>
      <c r="D15" s="358"/>
      <c r="E15" s="358"/>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63"/>
      <c r="AJ15" s="363"/>
      <c r="AK15" s="363"/>
      <c r="AL15" s="350"/>
    </row>
    <row r="16" spans="1:39" s="353" customFormat="1" ht="12" customHeight="1" x14ac:dyDescent="0.2">
      <c r="A16" s="350"/>
      <c r="B16" s="364" t="s">
        <v>173</v>
      </c>
      <c r="C16" s="358"/>
      <c r="D16" s="358"/>
      <c r="E16" s="358"/>
      <c r="F16" s="350"/>
      <c r="G16" s="350"/>
      <c r="H16" s="350"/>
      <c r="I16" s="350"/>
      <c r="J16" s="350"/>
      <c r="K16" s="350"/>
      <c r="L16" s="350"/>
      <c r="M16" s="350"/>
      <c r="N16" s="350"/>
      <c r="O16" s="350"/>
      <c r="P16" s="350"/>
      <c r="Q16" s="350"/>
      <c r="R16" s="350"/>
      <c r="S16" s="350"/>
      <c r="T16" s="350"/>
      <c r="U16" s="350"/>
      <c r="V16" s="365" t="s">
        <v>66</v>
      </c>
      <c r="W16" s="366" t="str">
        <f>F51</f>
        <v>Pre1</v>
      </c>
      <c r="X16" s="366" t="str">
        <f>G51</f>
        <v>Pre2</v>
      </c>
      <c r="Y16" s="366" t="str">
        <f>H51</f>
        <v>Post1</v>
      </c>
      <c r="Z16" s="366" t="str">
        <f>I51</f>
        <v>Post2</v>
      </c>
      <c r="AA16" s="366" t="str">
        <f>J51</f>
        <v>Post3</v>
      </c>
      <c r="AB16" s="350"/>
      <c r="AC16" s="350"/>
      <c r="AD16" s="350"/>
      <c r="AE16" s="350"/>
      <c r="AF16" s="350"/>
      <c r="AG16" s="350"/>
      <c r="AH16" s="350"/>
      <c r="AI16" s="363"/>
      <c r="AJ16" s="363"/>
      <c r="AK16" s="363"/>
      <c r="AL16" s="350"/>
    </row>
    <row r="17" spans="1:38" s="353" customFormat="1" ht="12" customHeight="1" x14ac:dyDescent="0.2">
      <c r="A17" s="350"/>
      <c r="B17" s="367" t="s">
        <v>112</v>
      </c>
      <c r="C17" s="358"/>
      <c r="D17" s="358"/>
      <c r="E17" s="358"/>
      <c r="F17" s="350"/>
      <c r="G17" s="350"/>
      <c r="H17" s="350"/>
      <c r="I17" s="350"/>
      <c r="J17" s="350"/>
      <c r="K17" s="350"/>
      <c r="L17" s="350"/>
      <c r="M17" s="350"/>
      <c r="N17" s="350"/>
      <c r="O17" s="350"/>
      <c r="P17" s="350"/>
      <c r="Q17" s="350"/>
      <c r="R17" s="350"/>
      <c r="S17" s="350"/>
      <c r="T17" s="350"/>
      <c r="U17" s="350"/>
      <c r="V17" s="350" t="str">
        <f>B52</f>
        <v>Control</v>
      </c>
      <c r="W17" s="350"/>
      <c r="X17" s="350"/>
      <c r="Y17" s="350"/>
      <c r="Z17" s="350"/>
      <c r="AA17" s="350"/>
      <c r="AB17" s="350"/>
      <c r="AC17" s="350"/>
      <c r="AD17" s="350"/>
      <c r="AE17" s="350"/>
      <c r="AF17" s="350"/>
      <c r="AG17" s="350"/>
      <c r="AH17" s="350"/>
      <c r="AI17" s="363"/>
      <c r="AJ17" s="363"/>
      <c r="AK17" s="363"/>
      <c r="AL17" s="350"/>
    </row>
    <row r="18" spans="1:38" s="353" customFormat="1" ht="12" customHeight="1" x14ac:dyDescent="0.2">
      <c r="A18" s="350"/>
      <c r="B18" s="364" t="s">
        <v>191</v>
      </c>
      <c r="C18" s="358"/>
      <c r="D18" s="358"/>
      <c r="E18" s="358"/>
      <c r="F18" s="350"/>
      <c r="G18" s="350"/>
      <c r="H18" s="350"/>
      <c r="I18" s="350"/>
      <c r="J18" s="350"/>
      <c r="K18" s="350"/>
      <c r="L18" s="350"/>
      <c r="M18" s="350"/>
      <c r="N18" s="350"/>
      <c r="O18" s="350"/>
      <c r="P18" s="350"/>
      <c r="Q18" s="350"/>
      <c r="R18" s="350"/>
      <c r="S18" s="350"/>
      <c r="T18" s="350"/>
      <c r="U18" s="350"/>
      <c r="V18" s="365" t="s">
        <v>124</v>
      </c>
      <c r="W18" s="368">
        <f>F49-$W$13</f>
        <v>0.94</v>
      </c>
      <c r="X18" s="368">
        <f>G49-$W$13</f>
        <v>1.94</v>
      </c>
      <c r="Y18" s="368">
        <f>H49-$W$13</f>
        <v>2.94</v>
      </c>
      <c r="Z18" s="368">
        <f>I49-$W$13</f>
        <v>3.94</v>
      </c>
      <c r="AA18" s="368">
        <f>J49-$W$13</f>
        <v>4.9400000000000004</v>
      </c>
      <c r="AB18" s="350"/>
      <c r="AC18" s="350"/>
      <c r="AD18" s="350"/>
      <c r="AE18" s="350"/>
      <c r="AF18" s="350"/>
      <c r="AG18" s="350"/>
      <c r="AH18" s="350"/>
      <c r="AI18" s="350"/>
      <c r="AJ18" s="350"/>
      <c r="AK18" s="350"/>
      <c r="AL18" s="350"/>
    </row>
    <row r="19" spans="1:38" s="353" customFormat="1" ht="12" customHeight="1" x14ac:dyDescent="0.2">
      <c r="A19" s="350"/>
      <c r="B19" s="369" t="s">
        <v>175</v>
      </c>
      <c r="C19" s="358"/>
      <c r="D19" s="358"/>
      <c r="E19" s="358"/>
      <c r="F19" s="350"/>
      <c r="G19" s="350"/>
      <c r="H19" s="350"/>
      <c r="I19" s="350"/>
      <c r="J19" s="350"/>
      <c r="K19" s="350"/>
      <c r="L19" s="350"/>
      <c r="M19" s="350"/>
      <c r="N19" s="350"/>
      <c r="O19" s="350"/>
      <c r="P19" s="350"/>
      <c r="Q19" s="350"/>
      <c r="R19" s="350"/>
      <c r="S19" s="350"/>
      <c r="T19" s="350"/>
      <c r="U19" s="350"/>
      <c r="V19" s="370" t="s">
        <v>67</v>
      </c>
      <c r="W19" s="371">
        <f t="shared" ref="W19:AA20" si="0">F72</f>
        <v>400.54</v>
      </c>
      <c r="X19" s="371">
        <f t="shared" si="0"/>
        <v>402.23</v>
      </c>
      <c r="Y19" s="371">
        <f t="shared" si="0"/>
        <v>403.6</v>
      </c>
      <c r="Z19" s="371">
        <f t="shared" si="0"/>
        <v>399.69500000000005</v>
      </c>
      <c r="AA19" s="371">
        <f t="shared" si="0"/>
        <v>399.62500000000006</v>
      </c>
      <c r="AB19" s="350"/>
      <c r="AC19" s="350"/>
      <c r="AD19" s="350"/>
      <c r="AE19" s="350"/>
      <c r="AF19" s="350"/>
      <c r="AG19" s="350"/>
      <c r="AH19" s="350"/>
      <c r="AI19" s="350"/>
      <c r="AJ19" s="350"/>
      <c r="AK19" s="350"/>
      <c r="AL19" s="350"/>
    </row>
    <row r="20" spans="1:38" s="353" customFormat="1" ht="12" customHeight="1" x14ac:dyDescent="0.2">
      <c r="A20" s="350"/>
      <c r="B20" s="352" t="s">
        <v>60</v>
      </c>
      <c r="C20" s="358"/>
      <c r="D20" s="358"/>
      <c r="E20" s="358"/>
      <c r="F20" s="350"/>
      <c r="G20" s="350"/>
      <c r="H20" s="350"/>
      <c r="I20" s="350"/>
      <c r="J20" s="350"/>
      <c r="K20" s="350"/>
      <c r="L20" s="350"/>
      <c r="M20" s="350"/>
      <c r="N20" s="350"/>
      <c r="O20" s="350"/>
      <c r="P20" s="350"/>
      <c r="Q20" s="350"/>
      <c r="R20" s="350" t="s">
        <v>132</v>
      </c>
      <c r="S20" s="350"/>
      <c r="T20" s="350"/>
      <c r="U20" s="350"/>
      <c r="V20" s="365" t="s">
        <v>68</v>
      </c>
      <c r="W20" s="372">
        <f t="shared" si="0"/>
        <v>7.1564030953515942</v>
      </c>
      <c r="X20" s="372">
        <f t="shared" si="0"/>
        <v>6.2891803499092171</v>
      </c>
      <c r="Y20" s="372">
        <f t="shared" si="0"/>
        <v>6.3709042570605003</v>
      </c>
      <c r="Z20" s="372">
        <f t="shared" si="0"/>
        <v>8.1710963639816239</v>
      </c>
      <c r="AA20" s="372">
        <f t="shared" si="0"/>
        <v>6.4178103332588616</v>
      </c>
      <c r="AB20" s="350"/>
      <c r="AC20" s="350"/>
      <c r="AD20" s="350"/>
      <c r="AE20" s="350"/>
      <c r="AF20" s="350"/>
      <c r="AG20" s="350"/>
      <c r="AH20" s="350"/>
      <c r="AI20" s="350"/>
      <c r="AJ20" s="350"/>
      <c r="AK20" s="350"/>
      <c r="AL20" s="350"/>
    </row>
    <row r="21" spans="1:38" s="353" customFormat="1" ht="12" customHeight="1" x14ac:dyDescent="0.2">
      <c r="A21" s="350"/>
      <c r="B21" s="349" t="s">
        <v>197</v>
      </c>
      <c r="C21" s="358"/>
      <c r="D21" s="358"/>
      <c r="E21" s="358"/>
      <c r="F21" s="350"/>
      <c r="G21" s="350"/>
      <c r="H21" s="350"/>
      <c r="I21" s="350"/>
      <c r="J21" s="350"/>
      <c r="K21" s="350"/>
      <c r="L21" s="350"/>
      <c r="M21" s="350"/>
      <c r="N21" s="350"/>
      <c r="O21" s="350"/>
      <c r="P21" s="350"/>
      <c r="Q21" s="350"/>
      <c r="R21" s="349" t="s">
        <v>171</v>
      </c>
      <c r="S21" s="350"/>
      <c r="T21" s="350"/>
      <c r="U21" s="350"/>
      <c r="V21" s="365" t="s">
        <v>69</v>
      </c>
      <c r="W21" s="372">
        <f>F73</f>
        <v>7.1564030953515942</v>
      </c>
      <c r="X21" s="372">
        <f>G73</f>
        <v>6.2891803499092171</v>
      </c>
      <c r="Y21" s="372">
        <f>H73</f>
        <v>6.3709042570605003</v>
      </c>
      <c r="Z21" s="372">
        <f>I73</f>
        <v>8.1710963639816239</v>
      </c>
      <c r="AA21" s="372">
        <f>J73</f>
        <v>6.4178103332588616</v>
      </c>
      <c r="AB21" s="350"/>
      <c r="AC21" s="350"/>
      <c r="AD21" s="350"/>
      <c r="AE21" s="350"/>
      <c r="AF21" s="350"/>
      <c r="AG21" s="350"/>
      <c r="AH21" s="350"/>
      <c r="AI21" s="350"/>
      <c r="AJ21" s="350"/>
      <c r="AK21" s="350"/>
      <c r="AL21" s="350"/>
    </row>
    <row r="22" spans="1:38" s="353" customFormat="1" ht="12" customHeight="1" x14ac:dyDescent="0.2">
      <c r="A22" s="350"/>
      <c r="B22" s="349" t="s">
        <v>150</v>
      </c>
      <c r="C22" s="350"/>
      <c r="D22" s="350"/>
      <c r="E22" s="350"/>
      <c r="F22" s="350"/>
      <c r="G22" s="350"/>
      <c r="H22" s="350"/>
      <c r="I22" s="350"/>
      <c r="J22" s="350"/>
      <c r="K22" s="350"/>
      <c r="L22" s="350"/>
      <c r="M22" s="350"/>
      <c r="N22" s="350"/>
      <c r="O22" s="350"/>
      <c r="P22" s="350"/>
      <c r="Q22" s="350"/>
      <c r="R22" s="350" t="s">
        <v>134</v>
      </c>
      <c r="S22" s="350"/>
      <c r="T22" s="350"/>
      <c r="U22" s="350"/>
      <c r="V22" s="350" t="str">
        <f>B85</f>
        <v>Exptal</v>
      </c>
      <c r="W22" s="350"/>
      <c r="X22" s="350"/>
      <c r="Y22" s="350"/>
      <c r="Z22" s="350"/>
      <c r="AA22" s="350"/>
      <c r="AB22" s="350"/>
      <c r="AC22" s="350"/>
      <c r="AD22" s="350"/>
      <c r="AE22" s="350"/>
      <c r="AF22" s="350"/>
      <c r="AG22" s="350"/>
      <c r="AH22" s="350"/>
      <c r="AI22" s="350"/>
      <c r="AJ22" s="350"/>
      <c r="AK22" s="350"/>
      <c r="AL22" s="350"/>
    </row>
    <row r="23" spans="1:38" s="353" customFormat="1" ht="12" customHeight="1" x14ac:dyDescent="0.2">
      <c r="A23" s="350"/>
      <c r="B23" s="349" t="s">
        <v>199</v>
      </c>
      <c r="C23" s="358"/>
      <c r="D23" s="358"/>
      <c r="E23" s="358"/>
      <c r="F23" s="350"/>
      <c r="G23" s="350"/>
      <c r="H23" s="350"/>
      <c r="I23" s="350"/>
      <c r="J23" s="350"/>
      <c r="K23" s="350"/>
      <c r="L23" s="350"/>
      <c r="M23" s="350"/>
      <c r="N23" s="350"/>
      <c r="O23" s="350"/>
      <c r="P23" s="350"/>
      <c r="Q23" s="350"/>
      <c r="R23" s="350" t="s">
        <v>128</v>
      </c>
      <c r="S23" s="350"/>
      <c r="T23" s="350"/>
      <c r="U23" s="350"/>
      <c r="V23" s="365" t="s">
        <v>124</v>
      </c>
      <c r="W23" s="368">
        <f>F49+$W$13</f>
        <v>1.06</v>
      </c>
      <c r="X23" s="368">
        <f>G49+$W$13</f>
        <v>2.06</v>
      </c>
      <c r="Y23" s="368">
        <f>H49+$W$13</f>
        <v>3.06</v>
      </c>
      <c r="Z23" s="368">
        <f>I49+$W$13</f>
        <v>4.0599999999999996</v>
      </c>
      <c r="AA23" s="368">
        <f>J49+$W$13</f>
        <v>5.0599999999999996</v>
      </c>
      <c r="AB23" s="350"/>
      <c r="AC23" s="350"/>
      <c r="AD23" s="350"/>
      <c r="AE23" s="350"/>
      <c r="AF23" s="350"/>
      <c r="AG23" s="350"/>
      <c r="AH23" s="350"/>
      <c r="AI23" s="350"/>
      <c r="AJ23" s="350"/>
      <c r="AK23" s="350"/>
      <c r="AL23" s="350"/>
    </row>
    <row r="24" spans="1:38" s="353" customFormat="1" ht="12" customHeight="1" x14ac:dyDescent="0.2">
      <c r="A24" s="350"/>
      <c r="B24" s="349" t="s">
        <v>198</v>
      </c>
      <c r="C24" s="358"/>
      <c r="D24" s="358"/>
      <c r="E24" s="358"/>
      <c r="F24" s="350"/>
      <c r="G24" s="350"/>
      <c r="H24" s="350"/>
      <c r="I24" s="350"/>
      <c r="J24" s="350"/>
      <c r="K24" s="350"/>
      <c r="L24" s="350"/>
      <c r="M24" s="350"/>
      <c r="N24" s="350"/>
      <c r="O24" s="350"/>
      <c r="P24" s="350"/>
      <c r="Q24" s="350"/>
      <c r="R24" s="350" t="s">
        <v>129</v>
      </c>
      <c r="S24" s="350"/>
      <c r="T24" s="350"/>
      <c r="U24" s="350"/>
      <c r="V24" s="370" t="s">
        <v>67</v>
      </c>
      <c r="W24" s="373">
        <f t="shared" ref="W24:AA25" si="1">F105</f>
        <v>400.01</v>
      </c>
      <c r="X24" s="373">
        <f t="shared" si="1"/>
        <v>398.28000000000009</v>
      </c>
      <c r="Y24" s="373">
        <f t="shared" si="1"/>
        <v>409.80999999999995</v>
      </c>
      <c r="Z24" s="373">
        <f t="shared" si="1"/>
        <v>405.69500000000005</v>
      </c>
      <c r="AA24" s="373">
        <f t="shared" si="1"/>
        <v>404.29499999999996</v>
      </c>
      <c r="AB24" s="350"/>
      <c r="AC24" s="350"/>
      <c r="AD24" s="350"/>
      <c r="AE24" s="350"/>
      <c r="AF24" s="350"/>
      <c r="AG24" s="350"/>
      <c r="AH24" s="350"/>
      <c r="AI24" s="350"/>
      <c r="AJ24" s="350"/>
      <c r="AK24" s="350"/>
      <c r="AL24" s="350"/>
    </row>
    <row r="25" spans="1:38" s="374" customFormat="1" ht="12" customHeight="1" x14ac:dyDescent="0.2">
      <c r="A25" s="358"/>
      <c r="B25" s="350" t="s">
        <v>127</v>
      </c>
      <c r="C25" s="358"/>
      <c r="D25" s="358"/>
      <c r="E25" s="358"/>
      <c r="F25" s="350"/>
      <c r="G25" s="350"/>
      <c r="H25" s="350"/>
      <c r="I25" s="350"/>
      <c r="J25" s="350"/>
      <c r="K25" s="358"/>
      <c r="L25" s="358"/>
      <c r="M25" s="358"/>
      <c r="N25" s="358"/>
      <c r="O25" s="358"/>
      <c r="P25" s="358"/>
      <c r="Q25" s="358"/>
      <c r="R25" s="350" t="s">
        <v>130</v>
      </c>
      <c r="S25" s="358"/>
      <c r="T25" s="358"/>
      <c r="U25" s="358"/>
      <c r="V25" s="365" t="s">
        <v>68</v>
      </c>
      <c r="W25" s="373">
        <f t="shared" si="1"/>
        <v>5.7548972280365804</v>
      </c>
      <c r="X25" s="373">
        <f t="shared" si="1"/>
        <v>6.1245493926621117</v>
      </c>
      <c r="Y25" s="373">
        <f t="shared" si="1"/>
        <v>10.202368146144984</v>
      </c>
      <c r="Z25" s="373">
        <f t="shared" si="1"/>
        <v>12.49136438546752</v>
      </c>
      <c r="AA25" s="373">
        <f t="shared" si="1"/>
        <v>11.450877925432525</v>
      </c>
      <c r="AB25" s="358"/>
      <c r="AC25" s="358"/>
      <c r="AD25" s="358"/>
      <c r="AE25" s="358"/>
      <c r="AF25" s="358"/>
      <c r="AG25" s="358"/>
      <c r="AH25" s="358"/>
      <c r="AI25" s="358"/>
      <c r="AJ25" s="358"/>
      <c r="AK25" s="358"/>
      <c r="AL25" s="358"/>
    </row>
    <row r="26" spans="1:38" s="353" customFormat="1" ht="12" customHeight="1" x14ac:dyDescent="0.2">
      <c r="A26" s="350"/>
      <c r="B26" s="349" t="s">
        <v>186</v>
      </c>
      <c r="C26" s="358"/>
      <c r="D26" s="358"/>
      <c r="E26" s="358"/>
      <c r="F26" s="358"/>
      <c r="G26" s="358"/>
      <c r="H26" s="358"/>
      <c r="I26" s="358"/>
      <c r="J26" s="358"/>
      <c r="K26" s="350"/>
      <c r="L26" s="350"/>
      <c r="M26" s="350"/>
      <c r="N26" s="350"/>
      <c r="O26" s="350"/>
      <c r="P26" s="350"/>
      <c r="Q26" s="350"/>
      <c r="R26" s="350" t="s">
        <v>131</v>
      </c>
      <c r="S26" s="350"/>
      <c r="T26" s="350"/>
      <c r="U26" s="350"/>
      <c r="V26" s="365" t="s">
        <v>69</v>
      </c>
      <c r="W26" s="373">
        <f>F106</f>
        <v>5.7548972280365804</v>
      </c>
      <c r="X26" s="373">
        <f>G106</f>
        <v>6.1245493926621117</v>
      </c>
      <c r="Y26" s="373">
        <f>H106</f>
        <v>10.202368146144984</v>
      </c>
      <c r="Z26" s="373">
        <f>I106</f>
        <v>12.49136438546752</v>
      </c>
      <c r="AA26" s="373">
        <f>J106</f>
        <v>11.450877925432525</v>
      </c>
      <c r="AB26" s="350"/>
      <c r="AC26" s="350"/>
      <c r="AD26" s="350"/>
      <c r="AE26" s="350"/>
      <c r="AF26" s="350"/>
      <c r="AG26" s="350"/>
      <c r="AH26" s="350"/>
      <c r="AI26" s="350"/>
      <c r="AJ26" s="350"/>
      <c r="AK26" s="350"/>
      <c r="AL26" s="350"/>
    </row>
    <row r="27" spans="1:38" s="353" customFormat="1" ht="12" customHeight="1" x14ac:dyDescent="0.2">
      <c r="A27" s="350"/>
      <c r="B27" s="349" t="s">
        <v>177</v>
      </c>
      <c r="C27" s="358"/>
      <c r="D27" s="358"/>
      <c r="E27" s="358"/>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row>
    <row r="28" spans="1:38" s="353" customFormat="1" ht="12" customHeight="1" x14ac:dyDescent="0.2">
      <c r="A28" s="350"/>
      <c r="B28" s="375" t="s">
        <v>170</v>
      </c>
      <c r="C28" s="376"/>
      <c r="D28" s="376"/>
      <c r="E28" s="377"/>
      <c r="F28" s="378"/>
      <c r="G28" s="379"/>
      <c r="H28" s="379"/>
      <c r="I28" s="379"/>
      <c r="J28" s="379"/>
      <c r="K28" s="380"/>
      <c r="L28" s="358"/>
      <c r="M28" s="358"/>
      <c r="N28" s="358"/>
      <c r="O28" s="358"/>
      <c r="P28" s="358"/>
      <c r="Q28" s="350"/>
      <c r="R28" s="350"/>
      <c r="S28" s="350"/>
      <c r="T28" s="350"/>
      <c r="U28" s="350"/>
      <c r="V28" s="350"/>
      <c r="W28" s="350"/>
      <c r="X28" s="350"/>
      <c r="Y28" s="350"/>
      <c r="Z28" s="350"/>
      <c r="AA28" s="350"/>
      <c r="AB28" s="350"/>
      <c r="AC28" s="350"/>
      <c r="AD28" s="350"/>
      <c r="AE28" s="350"/>
      <c r="AF28" s="350"/>
      <c r="AG28" s="350"/>
      <c r="AH28" s="350"/>
      <c r="AI28" s="350"/>
      <c r="AJ28" s="350"/>
      <c r="AK28" s="350"/>
      <c r="AL28" s="350"/>
    </row>
    <row r="29" spans="1:38" s="353" customFormat="1" ht="12" customHeight="1" x14ac:dyDescent="0.2">
      <c r="A29" s="350"/>
      <c r="B29" s="349" t="s">
        <v>169</v>
      </c>
      <c r="C29" s="358"/>
      <c r="D29" s="358"/>
      <c r="E29" s="358"/>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row>
    <row r="30" spans="1:38" ht="15" customHeight="1" x14ac:dyDescent="0.2">
      <c r="A30" s="19"/>
      <c r="B30" s="44" t="s">
        <v>213</v>
      </c>
      <c r="C30" s="19"/>
      <c r="D30" s="19"/>
      <c r="E30" s="44"/>
      <c r="F30" s="45"/>
      <c r="G30" s="45"/>
      <c r="H30" s="45"/>
      <c r="I30" s="45"/>
      <c r="J30" s="45"/>
      <c r="K30" s="32"/>
      <c r="L30" s="32"/>
      <c r="M30" s="32"/>
      <c r="N30" s="32"/>
      <c r="O30" s="32"/>
      <c r="P30" s="32"/>
      <c r="Q30" s="19"/>
      <c r="R30" s="19"/>
      <c r="S30" s="19"/>
      <c r="T30" s="19"/>
      <c r="U30" s="19"/>
      <c r="V30" s="32" t="str">
        <f>S52</f>
        <v>Control</v>
      </c>
      <c r="W30" s="32"/>
      <c r="X30" s="32"/>
      <c r="Y30" s="32"/>
      <c r="Z30" s="32"/>
      <c r="AA30" s="32"/>
      <c r="AB30" s="19"/>
      <c r="AC30" s="19"/>
      <c r="AD30" s="19"/>
      <c r="AE30" s="19"/>
      <c r="AF30" s="19"/>
      <c r="AG30" s="19"/>
      <c r="AH30" s="19"/>
      <c r="AI30" s="19"/>
      <c r="AJ30" s="19"/>
      <c r="AK30" s="19"/>
      <c r="AL30" s="19"/>
    </row>
    <row r="31" spans="1:38" ht="12.95" customHeight="1" x14ac:dyDescent="0.2">
      <c r="A31" s="19"/>
      <c r="B31" s="246" t="s">
        <v>149</v>
      </c>
      <c r="C31" s="247"/>
      <c r="D31" s="247"/>
      <c r="E31" s="247"/>
      <c r="F31" s="248"/>
      <c r="G31" s="248"/>
      <c r="H31" s="248"/>
      <c r="I31" s="319"/>
      <c r="J31" s="345"/>
      <c r="K31" s="319"/>
      <c r="L31" s="319"/>
      <c r="M31" s="319"/>
      <c r="N31" s="319"/>
      <c r="O31" s="32"/>
      <c r="P31" s="32"/>
      <c r="Q31" s="19"/>
      <c r="R31" s="19"/>
      <c r="S31" s="19"/>
      <c r="T31" s="19"/>
      <c r="U31" s="19"/>
      <c r="V31" s="18" t="s">
        <v>124</v>
      </c>
      <c r="W31" s="39">
        <f t="shared" ref="W31:AA31" si="2">W49-$W$13</f>
        <v>0.94</v>
      </c>
      <c r="X31" s="39">
        <f t="shared" si="2"/>
        <v>1.94</v>
      </c>
      <c r="Y31" s="39">
        <f t="shared" si="2"/>
        <v>2.94</v>
      </c>
      <c r="Z31" s="39">
        <f t="shared" si="2"/>
        <v>3.94</v>
      </c>
      <c r="AA31" s="39">
        <f t="shared" si="2"/>
        <v>4.9400000000000004</v>
      </c>
      <c r="AB31" s="19"/>
      <c r="AC31" s="19"/>
      <c r="AD31" s="19"/>
      <c r="AE31" s="19"/>
      <c r="AF31" s="19"/>
      <c r="AG31" s="19"/>
      <c r="AH31" s="19"/>
      <c r="AI31" s="19"/>
      <c r="AJ31" s="19"/>
      <c r="AK31" s="19"/>
      <c r="AL31" s="19"/>
    </row>
    <row r="32" spans="1:38" ht="12.95" customHeight="1" x14ac:dyDescent="0.2">
      <c r="A32" s="19"/>
      <c r="B32" s="37" t="s">
        <v>202</v>
      </c>
      <c r="C32" s="19"/>
      <c r="D32" s="19"/>
      <c r="E32" s="19"/>
      <c r="F32" s="19"/>
      <c r="G32" s="19"/>
      <c r="H32" s="19"/>
      <c r="I32" s="19"/>
      <c r="J32" s="19"/>
      <c r="K32" s="19"/>
      <c r="L32" s="19"/>
      <c r="M32" s="19"/>
      <c r="N32" s="19"/>
      <c r="O32" s="19"/>
      <c r="P32" s="19"/>
      <c r="Q32" s="19"/>
      <c r="R32" s="19"/>
      <c r="S32" s="19"/>
      <c r="T32" s="19"/>
      <c r="U32" s="19"/>
      <c r="V32" s="25" t="s">
        <v>67</v>
      </c>
      <c r="W32" s="46">
        <f t="shared" ref="W32:AA32" si="3">W77</f>
        <v>400.47985216876685</v>
      </c>
      <c r="X32" s="46">
        <f t="shared" si="3"/>
        <v>402.18343295319113</v>
      </c>
      <c r="Y32" s="46">
        <f t="shared" si="3"/>
        <v>403.55222921947194</v>
      </c>
      <c r="Z32" s="46">
        <f t="shared" si="3"/>
        <v>399.61597408271734</v>
      </c>
      <c r="AA32" s="46">
        <f t="shared" si="3"/>
        <v>399.57637953717125</v>
      </c>
      <c r="AB32" s="19"/>
      <c r="AC32" s="19"/>
      <c r="AD32" s="19"/>
      <c r="AE32" s="19"/>
      <c r="AF32" s="19"/>
      <c r="AG32" s="19"/>
      <c r="AH32" s="19"/>
      <c r="AI32" s="19"/>
      <c r="AJ32" s="19"/>
      <c r="AK32" s="19"/>
      <c r="AL32" s="19"/>
    </row>
    <row r="33" spans="1:38" ht="12.95" customHeight="1" x14ac:dyDescent="0.2">
      <c r="A33" s="19"/>
      <c r="B33" s="40"/>
      <c r="C33" s="19"/>
      <c r="D33" s="19"/>
      <c r="E33" s="19"/>
      <c r="F33" s="19"/>
      <c r="G33" s="19"/>
      <c r="H33" s="19"/>
      <c r="I33" s="19"/>
      <c r="J33" s="19"/>
      <c r="K33" s="19"/>
      <c r="L33" s="19"/>
      <c r="M33" s="19"/>
      <c r="N33" s="19"/>
      <c r="O33" s="19"/>
      <c r="P33" s="19"/>
      <c r="Q33" s="19"/>
      <c r="R33" s="19"/>
      <c r="S33" s="19"/>
      <c r="T33" s="19"/>
      <c r="U33" s="19"/>
      <c r="V33" s="18" t="s">
        <v>68</v>
      </c>
      <c r="W33" s="47">
        <f t="shared" ref="W33:AA33" si="4">W32*W79-W32</f>
        <v>7.1672286065833646</v>
      </c>
      <c r="X33" s="47">
        <f t="shared" si="4"/>
        <v>6.3236551572229587</v>
      </c>
      <c r="Y33" s="47">
        <f t="shared" si="4"/>
        <v>6.4212187849462907</v>
      </c>
      <c r="Z33" s="47">
        <f t="shared" si="4"/>
        <v>8.2293781654747704</v>
      </c>
      <c r="AA33" s="47">
        <f t="shared" si="4"/>
        <v>6.4355373254990695</v>
      </c>
      <c r="AB33" s="19"/>
      <c r="AC33" s="19"/>
      <c r="AD33" s="19"/>
      <c r="AE33" s="19"/>
      <c r="AF33" s="19"/>
      <c r="AG33" s="19"/>
      <c r="AH33" s="19"/>
      <c r="AI33" s="19"/>
      <c r="AJ33" s="19"/>
      <c r="AK33" s="19"/>
      <c r="AL33" s="19"/>
    </row>
    <row r="34" spans="1:38" ht="12.95" customHeight="1" x14ac:dyDescent="0.2">
      <c r="A34" s="19"/>
      <c r="B34" s="560" t="s">
        <v>251</v>
      </c>
      <c r="C34" s="561"/>
      <c r="D34" s="555" t="s">
        <v>87</v>
      </c>
      <c r="E34" s="556"/>
      <c r="F34" s="69"/>
      <c r="G34" s="69"/>
      <c r="H34" s="59"/>
      <c r="I34" s="19"/>
      <c r="J34" s="19"/>
      <c r="K34" s="58"/>
      <c r="L34" s="60" t="s">
        <v>93</v>
      </c>
      <c r="M34" s="252" t="s">
        <v>87</v>
      </c>
      <c r="N34" s="69"/>
      <c r="O34" s="59"/>
      <c r="P34" s="19"/>
      <c r="Q34" s="19"/>
      <c r="R34" s="19"/>
      <c r="S34" s="19"/>
      <c r="T34" s="19"/>
      <c r="U34" s="19"/>
      <c r="V34" s="18" t="s">
        <v>69</v>
      </c>
      <c r="W34" s="61">
        <f t="shared" ref="W34:AA34" si="5">W32-W32/W79</f>
        <v>7.0412147864884673</v>
      </c>
      <c r="X34" s="61">
        <f t="shared" si="5"/>
        <v>6.2257655104791638</v>
      </c>
      <c r="Y34" s="61">
        <f t="shared" si="5"/>
        <v>6.3206462944963846</v>
      </c>
      <c r="Z34" s="61">
        <f t="shared" si="5"/>
        <v>8.0633283021697366</v>
      </c>
      <c r="AA34" s="61">
        <f t="shared" si="5"/>
        <v>6.3335301209127124</v>
      </c>
      <c r="AB34" s="19"/>
      <c r="AC34" s="19"/>
      <c r="AD34" s="19"/>
      <c r="AE34" s="19"/>
      <c r="AF34" s="19"/>
      <c r="AG34" s="19"/>
      <c r="AH34" s="19"/>
      <c r="AI34" s="48"/>
      <c r="AJ34" s="34"/>
      <c r="AK34" s="34"/>
      <c r="AL34" s="19"/>
    </row>
    <row r="35" spans="1:38" ht="12.95" customHeight="1" x14ac:dyDescent="0.2">
      <c r="A35" s="19"/>
      <c r="B35" s="562"/>
      <c r="C35" s="563"/>
      <c r="D35" s="557" t="s">
        <v>88</v>
      </c>
      <c r="E35" s="558"/>
      <c r="F35" s="136"/>
      <c r="G35" s="136"/>
      <c r="H35" s="63"/>
      <c r="I35" s="19"/>
      <c r="J35" s="19"/>
      <c r="K35" s="62"/>
      <c r="L35" s="64" t="s">
        <v>91</v>
      </c>
      <c r="M35" s="253" t="s">
        <v>92</v>
      </c>
      <c r="N35" s="136"/>
      <c r="O35" s="63"/>
      <c r="P35" s="19"/>
      <c r="Q35" s="19"/>
      <c r="R35" s="19"/>
      <c r="S35" s="19"/>
      <c r="T35" s="19"/>
      <c r="U35" s="19"/>
      <c r="V35" s="25" t="str">
        <f>S85</f>
        <v>Exptal</v>
      </c>
      <c r="W35" s="65"/>
      <c r="X35" s="65"/>
      <c r="Y35" s="65"/>
      <c r="Z35" s="65"/>
      <c r="AA35" s="65"/>
      <c r="AB35" s="19"/>
      <c r="AC35" s="19"/>
      <c r="AD35" s="19"/>
      <c r="AE35" s="19"/>
      <c r="AF35" s="19"/>
      <c r="AG35" s="19"/>
      <c r="AH35" s="19"/>
      <c r="AI35" s="48"/>
      <c r="AJ35" s="34"/>
      <c r="AK35" s="34"/>
      <c r="AL35" s="19"/>
    </row>
    <row r="36" spans="1:38" ht="12.95" customHeight="1" x14ac:dyDescent="0.25">
      <c r="A36" s="19"/>
      <c r="B36" s="66" t="s">
        <v>74</v>
      </c>
      <c r="C36" s="543"/>
      <c r="D36" s="551" t="str">
        <f>IF(ISNUMBER(C36),-C36,"")</f>
        <v/>
      </c>
      <c r="E36" s="552" t="s">
        <v>83</v>
      </c>
      <c r="F36" s="553"/>
      <c r="G36" s="396"/>
      <c r="H36" s="554"/>
      <c r="I36" s="19"/>
      <c r="J36" s="19"/>
      <c r="K36" s="67" t="s">
        <v>74</v>
      </c>
      <c r="L36" s="320" t="str">
        <f>IF(ISNUMBER(C39),C39*F133,"")</f>
        <v/>
      </c>
      <c r="M36" s="321" t="str">
        <f>IF(ISNUMBER(D39),D39*F133,"")</f>
        <v/>
      </c>
      <c r="N36" s="58"/>
      <c r="O36" s="59"/>
      <c r="P36" s="19"/>
      <c r="Q36" s="19"/>
      <c r="R36" s="19"/>
      <c r="S36" s="19"/>
      <c r="T36" s="19"/>
      <c r="U36" s="19"/>
      <c r="V36" s="18" t="s">
        <v>124</v>
      </c>
      <c r="W36" s="35">
        <f t="shared" ref="W36:AA36" si="6">W49+$W$13</f>
        <v>1.06</v>
      </c>
      <c r="X36" s="35">
        <f t="shared" si="6"/>
        <v>2.06</v>
      </c>
      <c r="Y36" s="35">
        <f t="shared" si="6"/>
        <v>3.06</v>
      </c>
      <c r="Z36" s="35">
        <f t="shared" si="6"/>
        <v>4.0599999999999996</v>
      </c>
      <c r="AA36" s="35">
        <f t="shared" si="6"/>
        <v>5.0599999999999996</v>
      </c>
      <c r="AB36" s="19"/>
      <c r="AC36" s="19"/>
      <c r="AD36" s="19"/>
      <c r="AE36" s="19"/>
      <c r="AF36" s="19"/>
      <c r="AG36" s="19"/>
      <c r="AH36" s="19"/>
      <c r="AI36" s="48"/>
      <c r="AJ36" s="34"/>
      <c r="AK36" s="34"/>
      <c r="AL36" s="19"/>
    </row>
    <row r="37" spans="1:38" s="1" customFormat="1" ht="12.95" customHeight="1" x14ac:dyDescent="0.25">
      <c r="A37" s="19"/>
      <c r="B37" s="66" t="s">
        <v>75</v>
      </c>
      <c r="C37" s="547"/>
      <c r="D37" s="550" t="str">
        <f>IF(ISNUMBER(C37),100/(1+C37/100)-100,"")</f>
        <v/>
      </c>
      <c r="E37" s="545" t="s">
        <v>84</v>
      </c>
      <c r="F37" s="544"/>
      <c r="G37" s="548"/>
      <c r="H37" s="549"/>
      <c r="I37" s="19"/>
      <c r="J37" s="19"/>
      <c r="K37" s="66" t="s">
        <v>75</v>
      </c>
      <c r="L37" s="322" t="str">
        <f>IF(ISNUMBER(C39),100*EXP(W133*C39/100)-100,"")</f>
        <v/>
      </c>
      <c r="M37" s="323" t="str">
        <f>IF(ISNUMBER(D39),100*EXP(W133*D39/100)-100,"")</f>
        <v/>
      </c>
      <c r="N37" s="129"/>
      <c r="O37" s="254"/>
      <c r="P37" s="19"/>
      <c r="Q37" s="19"/>
      <c r="R37" s="308" t="s">
        <v>174</v>
      </c>
      <c r="S37" s="19"/>
      <c r="T37" s="19"/>
      <c r="U37" s="19"/>
      <c r="V37" s="18" t="s">
        <v>67</v>
      </c>
      <c r="W37" s="35">
        <f t="shared" ref="W37:AA37" si="7">W110</f>
        <v>399.97046646109879</v>
      </c>
      <c r="X37" s="35">
        <f t="shared" si="7"/>
        <v>398.23535222216032</v>
      </c>
      <c r="Y37" s="35">
        <f t="shared" si="7"/>
        <v>409.69039112628769</v>
      </c>
      <c r="Z37" s="35">
        <f t="shared" si="7"/>
        <v>405.51608335968922</v>
      </c>
      <c r="AA37" s="35">
        <f t="shared" si="7"/>
        <v>404.13987783753089</v>
      </c>
      <c r="AB37" s="19"/>
      <c r="AC37" s="20"/>
      <c r="AD37" s="24"/>
      <c r="AE37" s="19"/>
      <c r="AF37" s="19"/>
      <c r="AG37" s="19"/>
      <c r="AH37" s="19"/>
      <c r="AI37" s="308" t="s">
        <v>174</v>
      </c>
      <c r="AJ37" s="34"/>
      <c r="AK37" s="34"/>
      <c r="AL37" s="19"/>
    </row>
    <row r="38" spans="1:38" s="1" customFormat="1" ht="12.95" customHeight="1" x14ac:dyDescent="0.25">
      <c r="A38" s="19"/>
      <c r="B38" s="66" t="s">
        <v>76</v>
      </c>
      <c r="C38" s="559"/>
      <c r="D38" s="544" t="str">
        <f>IF(ISNUMBER(C38),1/C38,"")</f>
        <v/>
      </c>
      <c r="E38" s="545" t="s">
        <v>84</v>
      </c>
      <c r="F38" s="544"/>
      <c r="G38" s="548"/>
      <c r="H38" s="549"/>
      <c r="I38" s="19"/>
      <c r="J38" s="19"/>
      <c r="K38" s="68" t="s">
        <v>76</v>
      </c>
      <c r="L38" s="324" t="str">
        <f>IF(ISNUMBER(C39),1+L37/100,"")</f>
        <v/>
      </c>
      <c r="M38" s="325" t="str">
        <f>IF(ISNUMBER(D39),1+M37/100,"")</f>
        <v/>
      </c>
      <c r="N38" s="135"/>
      <c r="O38" s="63"/>
      <c r="P38" s="19"/>
      <c r="Q38" s="19"/>
      <c r="R38" s="308" t="s">
        <v>172</v>
      </c>
      <c r="S38" s="19"/>
      <c r="T38" s="19"/>
      <c r="U38" s="19"/>
      <c r="V38" s="19" t="s">
        <v>68</v>
      </c>
      <c r="W38" s="19">
        <f>W37*W112-W37</f>
        <v>5.8191359741567226</v>
      </c>
      <c r="X38" s="19">
        <f>X37*X112-X37</f>
        <v>6.1623489094491788</v>
      </c>
      <c r="Y38" s="19">
        <f>Y37*Y112-Y37</f>
        <v>10.261167300934346</v>
      </c>
      <c r="Z38" s="19">
        <f>Z37*Z112-Z37</f>
        <v>12.483065711175243</v>
      </c>
      <c r="AA38" s="19">
        <f>AA37*AA112-AA37</f>
        <v>11.67396741909846</v>
      </c>
      <c r="AB38" s="19"/>
      <c r="AC38" s="20"/>
      <c r="AD38" s="24"/>
      <c r="AE38" s="19"/>
      <c r="AF38" s="19"/>
      <c r="AG38" s="19"/>
      <c r="AH38" s="19"/>
      <c r="AI38" s="308" t="s">
        <v>172</v>
      </c>
      <c r="AJ38" s="34"/>
      <c r="AK38" s="34"/>
      <c r="AL38" s="19"/>
    </row>
    <row r="39" spans="1:38" s="1" customFormat="1" ht="12.95" customHeight="1" x14ac:dyDescent="0.25">
      <c r="A39" s="19"/>
      <c r="B39" s="68" t="s">
        <v>77</v>
      </c>
      <c r="C39" s="543"/>
      <c r="D39" s="544" t="str">
        <f>IF(ISNUMBER(C39),-C39,"")</f>
        <v/>
      </c>
      <c r="E39" s="545" t="s">
        <v>138</v>
      </c>
      <c r="F39" s="546"/>
      <c r="G39" s="548"/>
      <c r="H39" s="549"/>
      <c r="I39" s="19"/>
      <c r="J39" s="19"/>
      <c r="K39" s="36" t="s">
        <v>95</v>
      </c>
      <c r="L39" s="19"/>
      <c r="M39" s="19"/>
      <c r="N39" s="19"/>
      <c r="O39" s="19"/>
      <c r="P39" s="19"/>
      <c r="Q39" s="19"/>
      <c r="R39" s="19"/>
      <c r="S39" s="19"/>
      <c r="T39" s="19"/>
      <c r="U39" s="19"/>
      <c r="V39" s="19" t="s">
        <v>69</v>
      </c>
      <c r="W39" s="19">
        <f>W37-W37/W112</f>
        <v>5.7356879427569538</v>
      </c>
      <c r="X39" s="19">
        <f>X37-X37/X112</f>
        <v>6.0684449530826328</v>
      </c>
      <c r="Y39" s="19">
        <f>Y37-Y37/Y112</f>
        <v>10.010444206175293</v>
      </c>
      <c r="Z39" s="19">
        <f>Z37-Z37/Z112</f>
        <v>12.110273254788922</v>
      </c>
      <c r="AA39" s="19">
        <f>AA37-AA37/AA112</f>
        <v>11.346220960300116</v>
      </c>
      <c r="AB39" s="19"/>
      <c r="AC39" s="20"/>
      <c r="AD39" s="24"/>
      <c r="AE39" s="19"/>
      <c r="AF39" s="19"/>
      <c r="AG39" s="19"/>
      <c r="AH39" s="19"/>
      <c r="AI39" s="48"/>
      <c r="AJ39" s="34"/>
      <c r="AK39" s="34"/>
      <c r="AL39" s="19"/>
    </row>
    <row r="40" spans="1:38" s="1" customFormat="1" ht="12.95" customHeight="1" x14ac:dyDescent="0.2">
      <c r="A40" s="19"/>
      <c r="B40" s="19"/>
      <c r="C40" s="19"/>
      <c r="D40" s="19"/>
      <c r="E40" s="19"/>
      <c r="F40" s="19"/>
      <c r="G40" s="19"/>
      <c r="H40" s="19"/>
      <c r="I40" s="19"/>
      <c r="J40" s="19"/>
      <c r="K40" s="33"/>
      <c r="L40" s="19"/>
      <c r="M40" s="19"/>
      <c r="N40" s="19"/>
      <c r="O40" s="19"/>
      <c r="P40" s="19"/>
      <c r="Q40" s="19"/>
      <c r="R40" s="19"/>
      <c r="S40" s="19"/>
      <c r="T40" s="19"/>
      <c r="U40" s="19"/>
      <c r="V40" s="19"/>
      <c r="W40" s="19"/>
      <c r="X40" s="19"/>
      <c r="Y40" s="19"/>
      <c r="Z40" s="19"/>
      <c r="AA40" s="19"/>
      <c r="AB40" s="19"/>
      <c r="AC40" s="20"/>
      <c r="AD40" s="24"/>
      <c r="AE40" s="19"/>
      <c r="AF40" s="19"/>
      <c r="AG40" s="19"/>
      <c r="AH40" s="19"/>
      <c r="AI40" s="19"/>
      <c r="AJ40" s="19"/>
      <c r="AK40" s="19"/>
      <c r="AL40" s="19"/>
    </row>
    <row r="41" spans="1:38" s="1" customFormat="1" ht="13.9" customHeight="1" x14ac:dyDescent="0.25">
      <c r="A41" s="19"/>
      <c r="B41" s="16"/>
      <c r="C41" s="17"/>
      <c r="D41" s="17"/>
      <c r="E41" s="17"/>
      <c r="F41" s="20"/>
      <c r="G41" s="23"/>
      <c r="H41" s="23"/>
      <c r="I41" s="23"/>
      <c r="J41" s="23"/>
      <c r="K41" s="19"/>
      <c r="L41" s="20"/>
      <c r="M41" s="24"/>
      <c r="N41" s="19"/>
      <c r="O41" s="19"/>
      <c r="P41" s="19"/>
      <c r="Q41" s="19"/>
      <c r="R41" s="19"/>
      <c r="S41" s="19"/>
      <c r="T41" s="19"/>
      <c r="U41" s="19"/>
      <c r="V41" s="19"/>
      <c r="W41" s="19"/>
      <c r="X41" s="19"/>
      <c r="Y41" s="19"/>
      <c r="Z41" s="19"/>
      <c r="AA41" s="19"/>
      <c r="AB41" s="19"/>
      <c r="AC41" s="20"/>
      <c r="AD41" s="24"/>
      <c r="AE41" s="19"/>
      <c r="AF41" s="19"/>
      <c r="AG41" s="19"/>
      <c r="AH41" s="19"/>
      <c r="AI41" s="48"/>
      <c r="AJ41" s="34"/>
      <c r="AK41" s="34"/>
      <c r="AL41" s="19"/>
    </row>
    <row r="42" spans="1:38" s="1" customFormat="1" ht="13.9" customHeight="1" x14ac:dyDescent="0.25">
      <c r="A42" s="19"/>
      <c r="B42" s="536"/>
      <c r="C42" s="537"/>
      <c r="D42" s="537"/>
      <c r="E42" s="538" t="s">
        <v>240</v>
      </c>
      <c r="F42" s="12"/>
      <c r="G42" s="20"/>
      <c r="H42" s="20"/>
      <c r="I42" s="20"/>
      <c r="J42" s="20"/>
      <c r="K42" s="646" t="s">
        <v>105</v>
      </c>
      <c r="L42" s="647"/>
      <c r="M42" s="565" t="s">
        <v>100</v>
      </c>
      <c r="N42" s="565"/>
      <c r="O42" s="651" t="s">
        <v>101</v>
      </c>
      <c r="P42" s="565"/>
      <c r="Q42" s="19"/>
      <c r="R42" s="19"/>
      <c r="S42" s="19"/>
      <c r="T42" s="19"/>
      <c r="U42" s="19"/>
      <c r="V42" s="19"/>
      <c r="W42" s="19"/>
      <c r="X42" s="19"/>
      <c r="Y42" s="19"/>
      <c r="Z42" s="19"/>
      <c r="AA42" s="19"/>
      <c r="AB42" s="646" t="s">
        <v>105</v>
      </c>
      <c r="AC42" s="647"/>
      <c r="AD42" s="565" t="s">
        <v>100</v>
      </c>
      <c r="AE42" s="565"/>
      <c r="AF42" s="651" t="s">
        <v>101</v>
      </c>
      <c r="AG42" s="565"/>
      <c r="AH42" s="19"/>
      <c r="AI42" s="48"/>
      <c r="AJ42" s="34"/>
      <c r="AK42" s="34"/>
      <c r="AL42" s="19"/>
    </row>
    <row r="43" spans="1:38" s="1" customFormat="1" ht="13.9" customHeight="1" x14ac:dyDescent="0.25">
      <c r="A43" s="19"/>
      <c r="B43" s="327"/>
      <c r="C43" s="328"/>
      <c r="D43" s="328"/>
      <c r="E43" s="329" t="s">
        <v>244</v>
      </c>
      <c r="F43" s="12">
        <v>1</v>
      </c>
      <c r="G43" s="20"/>
      <c r="H43" s="20"/>
      <c r="I43" s="20"/>
      <c r="J43" s="20"/>
      <c r="K43" s="646"/>
      <c r="L43" s="647"/>
      <c r="M43" s="73" t="str">
        <f>D51</f>
        <v>X1</v>
      </c>
      <c r="N43" s="73" t="str">
        <f>E51</f>
        <v>X2</v>
      </c>
      <c r="O43" s="73" t="str">
        <f>M43</f>
        <v>X1</v>
      </c>
      <c r="P43" s="73" t="str">
        <f>N43</f>
        <v>X2</v>
      </c>
      <c r="Q43" s="19"/>
      <c r="R43" s="19"/>
      <c r="S43" s="19"/>
      <c r="T43" s="19"/>
      <c r="U43" s="19"/>
      <c r="V43" s="19"/>
      <c r="W43" s="19"/>
      <c r="X43" s="19"/>
      <c r="Y43" s="19"/>
      <c r="Z43" s="19"/>
      <c r="AA43" s="19"/>
      <c r="AB43" s="646"/>
      <c r="AC43" s="647"/>
      <c r="AD43" s="73" t="str">
        <f>D51</f>
        <v>X1</v>
      </c>
      <c r="AE43" s="73" t="str">
        <f>E51</f>
        <v>X2</v>
      </c>
      <c r="AF43" s="73" t="str">
        <f>AD43</f>
        <v>X1</v>
      </c>
      <c r="AG43" s="73" t="str">
        <f>AE43</f>
        <v>X2</v>
      </c>
      <c r="AH43" s="19"/>
      <c r="AI43" s="48"/>
      <c r="AJ43" s="34"/>
      <c r="AK43" s="34"/>
      <c r="AL43" s="19"/>
    </row>
    <row r="44" spans="1:38" s="1" customFormat="1" ht="14.45" customHeight="1" x14ac:dyDescent="0.25">
      <c r="A44" s="19"/>
      <c r="B44" s="70"/>
      <c r="C44" s="74"/>
      <c r="D44" s="74"/>
      <c r="E44" s="539" t="s">
        <v>249</v>
      </c>
      <c r="F44" s="540">
        <f>(100-F42)/2/F43</f>
        <v>50</v>
      </c>
      <c r="G44" s="20"/>
      <c r="H44" s="20"/>
      <c r="I44" s="20"/>
      <c r="J44" s="20"/>
      <c r="K44" s="75"/>
      <c r="L44" s="381" t="s">
        <v>106</v>
      </c>
      <c r="M44" s="26"/>
      <c r="N44" s="26"/>
      <c r="O44" s="313">
        <f>IF(ISNUMBER(M44),M44,M45)</f>
        <v>9.68</v>
      </c>
      <c r="P44" s="313">
        <f>IF(ISNUMBER(N44),N44,N45)</f>
        <v>400.26499999999999</v>
      </c>
      <c r="Q44" s="19"/>
      <c r="R44" s="19"/>
      <c r="S44" s="19"/>
      <c r="T44" s="19"/>
      <c r="U44" s="19"/>
      <c r="V44" s="37"/>
      <c r="W44" s="19"/>
      <c r="X44" s="19"/>
      <c r="Y44" s="19"/>
      <c r="Z44" s="19"/>
      <c r="AA44" s="19"/>
      <c r="AB44" s="75"/>
      <c r="AC44" s="383" t="s">
        <v>106</v>
      </c>
      <c r="AD44" s="26"/>
      <c r="AE44" s="26"/>
      <c r="AF44" s="313">
        <f>IF(ISNUMBER(AD44),AD44,AD45)</f>
        <v>9.68</v>
      </c>
      <c r="AG44" s="313">
        <f>IF(ISNUMBER(AE44),AE44,AE45)</f>
        <v>599.20014055655622</v>
      </c>
      <c r="AH44" s="19"/>
      <c r="AI44" s="48"/>
      <c r="AJ44" s="34"/>
      <c r="AK44" s="34"/>
      <c r="AL44" s="19"/>
    </row>
    <row r="45" spans="1:38" s="1" customFormat="1" ht="13.9" customHeight="1" x14ac:dyDescent="0.25">
      <c r="A45" s="19"/>
      <c r="B45" s="70"/>
      <c r="C45" s="71"/>
      <c r="D45" s="71"/>
      <c r="E45" s="72" t="s">
        <v>85</v>
      </c>
      <c r="F45" s="541">
        <f>(100-F42)/20/F43</f>
        <v>5</v>
      </c>
      <c r="G45" s="20"/>
      <c r="H45" s="20"/>
      <c r="I45" s="20"/>
      <c r="J45" s="20"/>
      <c r="K45" s="652" t="s">
        <v>107</v>
      </c>
      <c r="L45" s="653"/>
      <c r="M45" s="27">
        <f>D118</f>
        <v>9.68</v>
      </c>
      <c r="N45" s="27">
        <f>E118</f>
        <v>400.26499999999999</v>
      </c>
      <c r="O45" s="28"/>
      <c r="P45" s="28"/>
      <c r="Q45" s="19"/>
      <c r="R45" s="19"/>
      <c r="S45" s="19"/>
      <c r="T45" s="19"/>
      <c r="U45" s="19"/>
      <c r="V45" s="19"/>
      <c r="W45" s="19"/>
      <c r="X45" s="19"/>
      <c r="Y45" s="19"/>
      <c r="Z45" s="19"/>
      <c r="AA45" s="19"/>
      <c r="AB45" s="652" t="s">
        <v>107</v>
      </c>
      <c r="AC45" s="653"/>
      <c r="AD45" s="27">
        <f>U118</f>
        <v>9.68</v>
      </c>
      <c r="AE45" s="27">
        <f>V118</f>
        <v>599.20014055655622</v>
      </c>
      <c r="AF45" s="28"/>
      <c r="AG45" s="28"/>
      <c r="AH45" s="19"/>
      <c r="AI45" s="48"/>
      <c r="AJ45" s="34"/>
      <c r="AK45" s="34"/>
      <c r="AL45" s="19"/>
    </row>
    <row r="46" spans="1:38" s="1" customFormat="1" ht="13.9" customHeight="1" x14ac:dyDescent="0.25">
      <c r="A46" s="19"/>
      <c r="B46" s="70"/>
      <c r="C46" s="71"/>
      <c r="D46" s="71"/>
      <c r="E46" s="72" t="s">
        <v>86</v>
      </c>
      <c r="F46" s="540">
        <f>F45*50</f>
        <v>250</v>
      </c>
      <c r="G46" s="20"/>
      <c r="H46" s="20"/>
      <c r="I46" s="20"/>
      <c r="J46" s="20"/>
      <c r="K46" s="652" t="s">
        <v>108</v>
      </c>
      <c r="L46" s="653"/>
      <c r="M46" s="27">
        <f>D119</f>
        <v>2.3610880631830073</v>
      </c>
      <c r="N46" s="27">
        <f>E119</f>
        <v>4.9423385685640566</v>
      </c>
      <c r="O46" s="28"/>
      <c r="P46" s="28"/>
      <c r="Q46" s="19"/>
      <c r="R46" s="19"/>
      <c r="S46" s="19"/>
      <c r="T46" s="19"/>
      <c r="U46" s="19"/>
      <c r="V46" s="19"/>
      <c r="W46" s="19"/>
      <c r="X46" s="19"/>
      <c r="Y46" s="20"/>
      <c r="Z46" s="19"/>
      <c r="AA46" s="19"/>
      <c r="AB46" s="652" t="s">
        <v>108</v>
      </c>
      <c r="AC46" s="653"/>
      <c r="AD46" s="27">
        <f>U119</f>
        <v>2.3610880631830073</v>
      </c>
      <c r="AE46" s="27">
        <f>V119</f>
        <v>1.2326723647508215</v>
      </c>
      <c r="AF46" s="28"/>
      <c r="AG46" s="28"/>
      <c r="AH46" s="19"/>
      <c r="AI46" s="48"/>
      <c r="AJ46" s="34"/>
      <c r="AK46" s="34"/>
      <c r="AL46" s="19"/>
    </row>
    <row r="47" spans="1:38" s="1" customFormat="1" ht="14.45" customHeight="1" x14ac:dyDescent="0.25">
      <c r="A47" s="19"/>
      <c r="B47" s="76"/>
      <c r="C47" s="77"/>
      <c r="D47" s="77"/>
      <c r="E47" s="78" t="s">
        <v>89</v>
      </c>
      <c r="F47" s="542">
        <f>ROUND(F46/(100-F46)/(F45/(100-F45)),0)</f>
        <v>-32</v>
      </c>
      <c r="G47" s="20"/>
      <c r="H47" s="19"/>
      <c r="I47" s="20"/>
      <c r="J47" s="20"/>
      <c r="K47" s="75"/>
      <c r="L47" s="277" t="s">
        <v>137</v>
      </c>
      <c r="M47" s="29"/>
      <c r="N47" s="29"/>
      <c r="O47" s="312" t="str">
        <f>IF(ISNUMBER(M47),M47,"")</f>
        <v/>
      </c>
      <c r="P47" s="312" t="str">
        <f>IF(ISNUMBER(N47),N47,"")</f>
        <v/>
      </c>
      <c r="Q47" s="30"/>
      <c r="R47" s="19"/>
      <c r="S47" s="19"/>
      <c r="T47" s="19"/>
      <c r="U47" s="19"/>
      <c r="V47" s="19"/>
      <c r="W47" s="19"/>
      <c r="X47" s="19"/>
      <c r="Y47" s="19"/>
      <c r="Z47" s="19"/>
      <c r="AA47" s="19"/>
      <c r="AB47" s="75"/>
      <c r="AC47" s="381" t="s">
        <v>137</v>
      </c>
      <c r="AD47" s="29"/>
      <c r="AE47" s="29"/>
      <c r="AF47" s="312" t="str">
        <f>IF(ISNUMBER(AD47),AD47,"")</f>
        <v/>
      </c>
      <c r="AG47" s="312" t="str">
        <f>IF(ISNUMBER(AE47),AE47,"")</f>
        <v/>
      </c>
      <c r="AH47" s="19"/>
      <c r="AI47" s="48"/>
      <c r="AJ47" s="34"/>
      <c r="AK47" s="34"/>
      <c r="AL47" s="19"/>
    </row>
    <row r="48" spans="1:38" s="1" customFormat="1" ht="13.9" customHeight="1" x14ac:dyDescent="0.2">
      <c r="A48" s="19"/>
      <c r="B48" s="31"/>
      <c r="C48" s="17"/>
      <c r="D48" s="17"/>
      <c r="E48" s="165" t="s">
        <v>190</v>
      </c>
      <c r="F48" s="342">
        <f>IF(F50&lt;0,-F50,"")</f>
        <v>0.5</v>
      </c>
      <c r="G48" s="342">
        <f>IF(G50&lt;0,-G50,"")</f>
        <v>0.5</v>
      </c>
      <c r="H48" s="342" t="str">
        <f>IF(H50&lt;0,-H50,"")</f>
        <v/>
      </c>
      <c r="I48" s="342" t="str">
        <f>IF(I50&lt;0,-I50,"")</f>
        <v/>
      </c>
      <c r="J48" s="342" t="str">
        <f>IF(J50&lt;0,-J50,"")</f>
        <v/>
      </c>
      <c r="K48" s="19"/>
      <c r="L48" s="19"/>
      <c r="M48" s="19"/>
      <c r="N48" s="19"/>
      <c r="O48" s="19"/>
      <c r="P48" s="19"/>
      <c r="Q48" s="19"/>
      <c r="R48" s="19"/>
      <c r="S48" s="19"/>
      <c r="T48" s="19"/>
      <c r="U48" s="19"/>
      <c r="V48" s="165" t="s">
        <v>190</v>
      </c>
      <c r="W48" s="341">
        <f>IF(W50&lt;0,-W50,"")</f>
        <v>0.5</v>
      </c>
      <c r="X48" s="341">
        <f>IF(X50&lt;0,-X50,"")</f>
        <v>0.5</v>
      </c>
      <c r="Y48" s="341" t="str">
        <f>IF(Y50&lt;0,-Y50,"")</f>
        <v/>
      </c>
      <c r="Z48" s="341" t="str">
        <f>IF(Z50&lt;0,-Z50,"")</f>
        <v/>
      </c>
      <c r="AA48" s="341" t="str">
        <f>IF(AA50&lt;0,-AA50,"")</f>
        <v/>
      </c>
      <c r="AB48" s="19"/>
      <c r="AC48" s="19"/>
      <c r="AD48" s="19"/>
      <c r="AE48" s="19"/>
      <c r="AF48" s="19"/>
      <c r="AG48" s="19"/>
      <c r="AH48" s="19"/>
      <c r="AI48" s="48"/>
      <c r="AJ48" s="34"/>
      <c r="AK48" s="34"/>
      <c r="AL48" s="19"/>
    </row>
    <row r="49" spans="1:38" s="1" customFormat="1" ht="13.9" customHeight="1" x14ac:dyDescent="0.2">
      <c r="A49" s="19"/>
      <c r="B49" s="582" t="s">
        <v>3</v>
      </c>
      <c r="C49" s="583"/>
      <c r="D49" s="245"/>
      <c r="E49" s="245" t="s">
        <v>117</v>
      </c>
      <c r="F49" s="440">
        <v>1</v>
      </c>
      <c r="G49" s="441">
        <v>2</v>
      </c>
      <c r="H49" s="441">
        <v>3</v>
      </c>
      <c r="I49" s="441">
        <v>4</v>
      </c>
      <c r="J49" s="441">
        <v>5</v>
      </c>
      <c r="K49" s="101"/>
      <c r="L49" s="20"/>
      <c r="M49" s="565" t="s">
        <v>100</v>
      </c>
      <c r="N49" s="565"/>
      <c r="O49" s="565" t="s">
        <v>101</v>
      </c>
      <c r="P49" s="565"/>
      <c r="Q49" s="19"/>
      <c r="R49" s="19"/>
      <c r="S49" s="586" t="s">
        <v>4</v>
      </c>
      <c r="T49" s="587"/>
      <c r="U49" s="241"/>
      <c r="V49" s="241" t="s">
        <v>117</v>
      </c>
      <c r="W49" s="444">
        <f t="shared" ref="W49:AA50" si="8">F49</f>
        <v>1</v>
      </c>
      <c r="X49" s="445">
        <f t="shared" si="8"/>
        <v>2</v>
      </c>
      <c r="Y49" s="445">
        <f t="shared" si="8"/>
        <v>3</v>
      </c>
      <c r="Z49" s="445">
        <f t="shared" si="8"/>
        <v>4</v>
      </c>
      <c r="AA49" s="445">
        <f t="shared" si="8"/>
        <v>5</v>
      </c>
      <c r="AB49" s="101"/>
      <c r="AC49" s="20"/>
      <c r="AD49" s="565" t="s">
        <v>100</v>
      </c>
      <c r="AE49" s="565"/>
      <c r="AF49" s="565" t="s">
        <v>101</v>
      </c>
      <c r="AG49" s="565"/>
      <c r="AH49" s="19"/>
      <c r="AI49" s="48"/>
      <c r="AJ49" s="34"/>
      <c r="AK49" s="34"/>
      <c r="AL49" s="19"/>
    </row>
    <row r="50" spans="1:38" s="10" customFormat="1" ht="13.9" customHeight="1" x14ac:dyDescent="0.2">
      <c r="A50" s="49"/>
      <c r="B50" s="584"/>
      <c r="C50" s="585"/>
      <c r="D50" s="244"/>
      <c r="E50" s="244" t="s">
        <v>102</v>
      </c>
      <c r="F50" s="442">
        <v>-0.5</v>
      </c>
      <c r="G50" s="443">
        <v>-0.5</v>
      </c>
      <c r="H50" s="443">
        <v>1</v>
      </c>
      <c r="I50" s="443">
        <v>0</v>
      </c>
      <c r="J50" s="443">
        <v>0</v>
      </c>
      <c r="K50" s="655" t="str">
        <f>IF(AND(SUM(F50:J50)=0,SUMIFS(F50:J50,F50:J50,"&gt;0")=1),"Good weights",IF(AND(SUM(F50:J50)=-1,SUMIFS(F50:J50,F50:J50,"&gt;0")=0),"Your own custom effect: see comment.",IF(SUM(F50:J50)=0,"Your own custom effect: see comment.","Bad weights: see comment.")))</f>
        <v>Good weights</v>
      </c>
      <c r="L50" s="656"/>
      <c r="M50" s="654" t="str">
        <f>IF(ISNUMBER(M47),"Effect of delta "&amp;M43,IF(ISNUMBER(M44),"Custom effect, adj. for "&amp;M43,"Custom effect, not adjusted"))</f>
        <v>Custom effect, not adjusted</v>
      </c>
      <c r="N50" s="654" t="str">
        <f>IF(ISNUMBER(N47),"Effect of delta "&amp;N43,IF(ISNUMBER(N44),"Custom effect, adj. for "&amp;N43,"Custom effect, not adjusted"))</f>
        <v>Custom effect, not adjusted</v>
      </c>
      <c r="O50" s="654" t="str">
        <f>IF(ISNUMBER(O47),"Effect of delta "&amp;O43,"Custom effect, adjusted")</f>
        <v>Custom effect, adjusted</v>
      </c>
      <c r="P50" s="654" t="str">
        <f>IF(ISNUMBER(P47),"Effect of delta "&amp;P43,"Custom effect, adjusted")</f>
        <v>Custom effect, adjusted</v>
      </c>
      <c r="Q50" s="49"/>
      <c r="R50" s="49"/>
      <c r="S50" s="588"/>
      <c r="T50" s="589"/>
      <c r="U50" s="243"/>
      <c r="V50" s="243" t="s">
        <v>102</v>
      </c>
      <c r="W50" s="446">
        <f t="shared" si="8"/>
        <v>-0.5</v>
      </c>
      <c r="X50" s="447">
        <f t="shared" si="8"/>
        <v>-0.5</v>
      </c>
      <c r="Y50" s="447">
        <f t="shared" si="8"/>
        <v>1</v>
      </c>
      <c r="Z50" s="447">
        <f t="shared" si="8"/>
        <v>0</v>
      </c>
      <c r="AA50" s="447">
        <f t="shared" si="8"/>
        <v>0</v>
      </c>
      <c r="AB50" s="655" t="str">
        <f>IF(AND(SUM(W50:AA50)=0,SUMIFS(W50:AA50,W50:AA50,"&gt;0")=1),"Good weights",IF(AND(SUM(W50:AA50)=-1,SUMIFS(W50:AA50,W50:AA50,"&gt;0")=0),"Your own custom effect: see comment.",IF(SUM(W50:AA50)=0,"Your own custom effect: see comment.","Bad weights: see comment.")))</f>
        <v>Good weights</v>
      </c>
      <c r="AC50" s="656"/>
      <c r="AD50" s="654" t="str">
        <f>IF(ISNUMBER(AD47),"Effect of delta "&amp;AD43,IF(ISNUMBER(AD44),"Custom effect, adj. for "&amp;AD43,"Custom effect, not adjusted"))</f>
        <v>Custom effect, not adjusted</v>
      </c>
      <c r="AE50" s="654" t="str">
        <f>IF(ISNUMBER(AE47),"Effect of delta "&amp;AE43,IF(ISNUMBER(AE44),"Custom effect, adj. for "&amp;AE43,"Custom effect, not adjusted"))</f>
        <v>Custom effect, not adjusted</v>
      </c>
      <c r="AF50" s="654" t="str">
        <f>IF(ISNUMBER(AF47),"Effect of delta "&amp;AF43,"Custom effect, adjusted")</f>
        <v>Custom effect, adjusted</v>
      </c>
      <c r="AG50" s="654" t="str">
        <f>IF(ISNUMBER(AG47),"Effect of delta "&amp;AG43,"Custom effect, adjusted")</f>
        <v>Custom effect, adjusted</v>
      </c>
      <c r="AH50" s="49"/>
      <c r="AI50" s="48"/>
      <c r="AJ50" s="50"/>
      <c r="AK50" s="50"/>
      <c r="AL50" s="49"/>
    </row>
    <row r="51" spans="1:38" s="10" customFormat="1" ht="27.2" customHeight="1" x14ac:dyDescent="0.25">
      <c r="A51" s="98"/>
      <c r="B51" s="79" t="s">
        <v>192</v>
      </c>
      <c r="C51" s="79" t="s">
        <v>0</v>
      </c>
      <c r="D51" s="80" t="s">
        <v>103</v>
      </c>
      <c r="E51" s="80" t="s">
        <v>104</v>
      </c>
      <c r="F51" s="80" t="s">
        <v>70</v>
      </c>
      <c r="G51" s="80" t="s">
        <v>71</v>
      </c>
      <c r="H51" s="80" t="s">
        <v>72</v>
      </c>
      <c r="I51" s="80" t="s">
        <v>73</v>
      </c>
      <c r="J51" s="80" t="s">
        <v>185</v>
      </c>
      <c r="K51" s="657"/>
      <c r="L51" s="658"/>
      <c r="M51" s="654"/>
      <c r="N51" s="654"/>
      <c r="O51" s="654"/>
      <c r="P51" s="654"/>
      <c r="Q51" s="49"/>
      <c r="R51" s="98"/>
      <c r="S51" s="79" t="str">
        <f t="shared" ref="S51:X51" si="9">B51</f>
        <v>Treatment</v>
      </c>
      <c r="T51" s="79" t="str">
        <f t="shared" si="9"/>
        <v>Name</v>
      </c>
      <c r="U51" s="82" t="str">
        <f t="shared" si="9"/>
        <v>X1</v>
      </c>
      <c r="V51" s="82" t="str">
        <f>E51</f>
        <v>X2</v>
      </c>
      <c r="W51" s="82" t="str">
        <f t="shared" si="9"/>
        <v>Pre1</v>
      </c>
      <c r="X51" s="82" t="str">
        <f t="shared" si="9"/>
        <v>Pre2</v>
      </c>
      <c r="Y51" s="82" t="str">
        <f t="shared" ref="Y51" si="10">H51</f>
        <v>Post1</v>
      </c>
      <c r="Z51" s="82" t="str">
        <f t="shared" ref="Z51" si="11">I51</f>
        <v>Post2</v>
      </c>
      <c r="AA51" s="82" t="str">
        <f t="shared" ref="AA51" si="12">J51</f>
        <v>Post3</v>
      </c>
      <c r="AB51" s="81"/>
      <c r="AC51" s="81"/>
      <c r="AD51" s="654"/>
      <c r="AE51" s="654"/>
      <c r="AF51" s="654"/>
      <c r="AG51" s="654"/>
      <c r="AH51" s="49"/>
      <c r="AI51" s="48"/>
      <c r="AJ51" s="50"/>
      <c r="AK51" s="50"/>
      <c r="AL51" s="49"/>
    </row>
    <row r="52" spans="1:38" x14ac:dyDescent="0.2">
      <c r="A52" s="99"/>
      <c r="B52" s="95" t="s">
        <v>15</v>
      </c>
      <c r="C52" s="97" t="s">
        <v>26</v>
      </c>
      <c r="D52" s="11">
        <v>8.1</v>
      </c>
      <c r="E52" s="54">
        <f>IF(SUMIFS(F$48:J$48,F52:J52,""),"",SUMPRODUCT(F$48:J$48,F52:J52)/SUM(F$48:J$48))</f>
        <v>395.55</v>
      </c>
      <c r="F52" s="11">
        <v>397</v>
      </c>
      <c r="G52" s="11">
        <v>394.1</v>
      </c>
      <c r="H52" s="11">
        <v>393.3</v>
      </c>
      <c r="I52" s="11">
        <v>397.4</v>
      </c>
      <c r="J52" s="11">
        <v>398.8</v>
      </c>
      <c r="K52" s="309" t="str">
        <f t="shared" ref="K52:K71" si="13">IF(SUMIFS(F$50:J$50,F52:J52,"",F$50:J$50,"&gt;0")-SUMIFS(F$50:J$50,F52:J52,"",F$50:J$50,"&lt;0"),"Missing data: clear the custom effect.","")</f>
        <v/>
      </c>
      <c r="L52" s="310"/>
      <c r="M52" s="55">
        <f t="shared" ref="M52:M71" si="14">SUMPRODUCT(F$50:J$50,F52:J52)</f>
        <v>-2.25</v>
      </c>
      <c r="N52" s="55">
        <f>IF(ISBLANK(M52),"",M52)</f>
        <v>-2.25</v>
      </c>
      <c r="O52" s="55">
        <f t="shared" ref="O52:O71" si="15">M52-(E52-P$44)*C$80</f>
        <v>-3.65120357144969</v>
      </c>
      <c r="P52" s="55">
        <f t="shared" ref="P52:P71" si="16">M52-(D52-O$44)*D$80</f>
        <v>-1.575867844500888</v>
      </c>
      <c r="Q52" s="309" t="str">
        <f t="shared" ref="Q52:Q71" si="17">IF(AND(ISNUMBER(D52),ISNUMBER(E52),ISNUMBER(M52),ISNUMBER(N52)),"","To adjust for both predictors, delete this entire row.")</f>
        <v/>
      </c>
      <c r="R52" s="99"/>
      <c r="S52" s="31" t="str">
        <f t="shared" ref="S52:S71" si="18">B52</f>
        <v>Control</v>
      </c>
      <c r="T52" s="31" t="str">
        <f t="shared" ref="T52:T71" si="19">C52</f>
        <v>Alex</v>
      </c>
      <c r="U52" s="54">
        <f t="shared" ref="U52:U71" si="20">IF(ISNUMBER(D52),D52,"miss")</f>
        <v>8.1</v>
      </c>
      <c r="V52" s="54">
        <f>IF(_xlfn.ISFORMULA(E52),IF(SUMIFS(W$48:AA$48,W52:AA52,""),"",SUMPRODUCT(W$48:AA$48,W52:AA52)/SUM(W$48:AA$48)),E52)</f>
        <v>598.02704824440752</v>
      </c>
      <c r="W52" s="55">
        <f t="shared" ref="W52:W71" si="21">100*LN(F52)</f>
        <v>598.39362806871907</v>
      </c>
      <c r="X52" s="55">
        <f t="shared" ref="X52:X71" si="22">100*LN(G52)</f>
        <v>597.66046842009587</v>
      </c>
      <c r="Y52" s="55">
        <f t="shared" ref="Y52:Y71" si="23">100*LN(H52)</f>
        <v>597.4572679437764</v>
      </c>
      <c r="Z52" s="55">
        <f t="shared" ref="Z52:Z71" si="24">100*LN(I52)</f>
        <v>598.49433301177169</v>
      </c>
      <c r="AA52" s="55">
        <f t="shared" ref="AA52:AA71" si="25">100*LN(J52)</f>
        <v>598.84600380876827</v>
      </c>
      <c r="AB52" s="314" t="str">
        <f t="shared" ref="AB52:AB71" si="26">IF(SUMIFS(W$76:AA$76,W52:AA52,"#num!"),"Clear the #NUM! dependent value.",IF(SUMIFS(W$50:AA$50,W52:AA52,"",W$50:AA$50,"&gt;0")-SUMIFS(W$50:AA$50,W52:AA52,"",W$50:AA$50,"&lt;0"),"Now clear the custom effect.",""))</f>
        <v/>
      </c>
      <c r="AC52" s="315"/>
      <c r="AD52" s="55">
        <f t="shared" ref="AD52:AD71" si="27">SUMPRODUCT(W$50:AA$50,W52:AA52)</f>
        <v>-0.56978030063112328</v>
      </c>
      <c r="AE52" s="55">
        <f>IF(ISBLANK(AD52),"",AD52)</f>
        <v>-0.56978030063112328</v>
      </c>
      <c r="AF52" s="55">
        <f t="shared" ref="AF52:AF71" si="28">AD52-(V52-AG$44)*T$80</f>
        <v>-0.92162740000844146</v>
      </c>
      <c r="AG52" s="55">
        <f t="shared" ref="AG52:AG71" si="29">AD52-(U52-AF$44)*U$80</f>
        <v>-0.40374545634853859</v>
      </c>
      <c r="AH52" s="309" t="str">
        <f t="shared" ref="AH52:AH71" si="30">IF(AND(ISNUMBER(U52),ISNUMBER(V52),ISNUMBER(AD52),ISNUMBER(AE52)),"","To adjust for both predictors, delete this entire row.")</f>
        <v/>
      </c>
      <c r="AI52" s="48"/>
      <c r="AJ52" s="34"/>
      <c r="AK52" s="34"/>
      <c r="AL52" s="19"/>
    </row>
    <row r="53" spans="1:38" x14ac:dyDescent="0.2">
      <c r="A53" s="99"/>
      <c r="B53" s="96" t="str">
        <f>$B$52</f>
        <v>Control</v>
      </c>
      <c r="C53" s="97" t="s">
        <v>41</v>
      </c>
      <c r="D53" s="11">
        <v>6.1</v>
      </c>
      <c r="E53" s="54">
        <f t="shared" ref="E53:E71" si="31">IF(SUMIFS(F$48:J$48,F53:J53,""),"",SUMPRODUCT(F$48:J$48,F53:J53)/SUM(F$48:J$48))</f>
        <v>406.15</v>
      </c>
      <c r="F53" s="11">
        <v>409.4</v>
      </c>
      <c r="G53" s="11">
        <v>402.9</v>
      </c>
      <c r="H53" s="11">
        <v>411.1</v>
      </c>
      <c r="I53" s="11">
        <v>397.6</v>
      </c>
      <c r="J53" s="11">
        <v>397.6</v>
      </c>
      <c r="K53" s="309" t="str">
        <f t="shared" si="13"/>
        <v/>
      </c>
      <c r="L53" s="310"/>
      <c r="M53" s="55">
        <f t="shared" si="14"/>
        <v>4.9500000000000455</v>
      </c>
      <c r="N53" s="55">
        <f t="shared" ref="N53:N71" si="32">IF(ISBLANK(M53),"",M53)</f>
        <v>4.9500000000000455</v>
      </c>
      <c r="O53" s="55">
        <f t="shared" si="15"/>
        <v>6.6989041395507254</v>
      </c>
      <c r="P53" s="55">
        <f t="shared" si="16"/>
        <v>6.4774639979030963</v>
      </c>
      <c r="Q53" s="309" t="str">
        <f t="shared" si="17"/>
        <v/>
      </c>
      <c r="R53" s="99"/>
      <c r="S53" s="31" t="str">
        <f t="shared" si="18"/>
        <v>Control</v>
      </c>
      <c r="T53" s="31" t="str">
        <f t="shared" si="19"/>
        <v>Ariel</v>
      </c>
      <c r="U53" s="54">
        <f t="shared" si="20"/>
        <v>6.1</v>
      </c>
      <c r="V53" s="54">
        <f t="shared" ref="V53:V71" si="33">IF(_xlfn.ISFORMULA(E53),IF(SUMIFS(W$48:AA$48,W53:AA53,""),"",SUMPRODUCT(W$48:AA$48,W53:AA53)/SUM(W$48:AA$48)),E53)</f>
        <v>600.66905327122458</v>
      </c>
      <c r="W53" s="55">
        <f t="shared" si="21"/>
        <v>601.46926732271891</v>
      </c>
      <c r="X53" s="55">
        <f t="shared" si="22"/>
        <v>599.86883921973015</v>
      </c>
      <c r="Y53" s="55">
        <f t="shared" si="23"/>
        <v>601.88364939038331</v>
      </c>
      <c r="Z53" s="55">
        <f t="shared" si="24"/>
        <v>598.54464747824193</v>
      </c>
      <c r="AA53" s="55">
        <f t="shared" si="25"/>
        <v>598.54464747824193</v>
      </c>
      <c r="AB53" s="314" t="str">
        <f t="shared" si="26"/>
        <v/>
      </c>
      <c r="AC53" s="315"/>
      <c r="AD53" s="55">
        <f t="shared" si="27"/>
        <v>1.2145961191587276</v>
      </c>
      <c r="AE53" s="55">
        <f t="shared" ref="AE53:AE71" si="34">IF(ISBLANK(AD53),"",AD53)</f>
        <v>1.2145961191587276</v>
      </c>
      <c r="AF53" s="55">
        <f t="shared" si="28"/>
        <v>1.6551690157177958</v>
      </c>
      <c r="AG53" s="55">
        <f t="shared" si="29"/>
        <v>1.5908016524066093</v>
      </c>
      <c r="AH53" s="309" t="str">
        <f t="shared" si="30"/>
        <v/>
      </c>
      <c r="AI53" s="48"/>
      <c r="AJ53" s="34"/>
      <c r="AK53" s="34"/>
      <c r="AL53" s="19"/>
    </row>
    <row r="54" spans="1:38" x14ac:dyDescent="0.2">
      <c r="A54" s="99"/>
      <c r="B54" s="96" t="str">
        <f t="shared" ref="B54:B71" si="35">$B$52</f>
        <v>Control</v>
      </c>
      <c r="C54" s="97" t="s">
        <v>42</v>
      </c>
      <c r="D54" s="11">
        <v>10.9</v>
      </c>
      <c r="E54" s="54">
        <f t="shared" si="31"/>
        <v>398.7</v>
      </c>
      <c r="F54" s="11">
        <v>399.2</v>
      </c>
      <c r="G54" s="11">
        <v>398.2</v>
      </c>
      <c r="H54" s="11">
        <v>403</v>
      </c>
      <c r="I54" s="11">
        <v>408.2</v>
      </c>
      <c r="J54" s="11">
        <v>393.1</v>
      </c>
      <c r="K54" s="309" t="str">
        <f t="shared" si="13"/>
        <v/>
      </c>
      <c r="L54" s="310"/>
      <c r="M54" s="55">
        <f t="shared" si="14"/>
        <v>4.3000000000000114</v>
      </c>
      <c r="N54" s="55">
        <f t="shared" si="32"/>
        <v>4.3000000000000114</v>
      </c>
      <c r="O54" s="55">
        <f t="shared" si="15"/>
        <v>3.8349133426683522</v>
      </c>
      <c r="P54" s="55">
        <f t="shared" si="16"/>
        <v>3.7794675761336083</v>
      </c>
      <c r="Q54" s="309" t="str">
        <f t="shared" si="17"/>
        <v/>
      </c>
      <c r="R54" s="99"/>
      <c r="S54" s="31" t="str">
        <f t="shared" si="18"/>
        <v>Control</v>
      </c>
      <c r="T54" s="31" t="str">
        <f t="shared" si="19"/>
        <v>Ashley</v>
      </c>
      <c r="U54" s="54">
        <f t="shared" si="20"/>
        <v>10.9</v>
      </c>
      <c r="V54" s="54">
        <f t="shared" si="33"/>
        <v>598.82084680337027</v>
      </c>
      <c r="W54" s="55">
        <f t="shared" si="21"/>
        <v>598.94625444373094</v>
      </c>
      <c r="X54" s="55">
        <f t="shared" si="22"/>
        <v>598.69543916300961</v>
      </c>
      <c r="Y54" s="55">
        <f t="shared" si="23"/>
        <v>599.89365619466821</v>
      </c>
      <c r="Z54" s="55">
        <f t="shared" si="24"/>
        <v>601.17572503757447</v>
      </c>
      <c r="AA54" s="55">
        <f t="shared" si="25"/>
        <v>597.40640324278149</v>
      </c>
      <c r="AB54" s="314" t="str">
        <f t="shared" si="26"/>
        <v/>
      </c>
      <c r="AC54" s="315"/>
      <c r="AD54" s="55">
        <f t="shared" si="27"/>
        <v>1.0728093912979375</v>
      </c>
      <c r="AE54" s="55">
        <f t="shared" si="34"/>
        <v>1.0728093912979375</v>
      </c>
      <c r="AF54" s="55">
        <f t="shared" si="28"/>
        <v>0.95904732373654322</v>
      </c>
      <c r="AG54" s="55">
        <f t="shared" si="29"/>
        <v>0.94460527102910619</v>
      </c>
      <c r="AH54" s="309" t="str">
        <f t="shared" si="30"/>
        <v/>
      </c>
      <c r="AI54" s="48"/>
      <c r="AJ54" s="34"/>
      <c r="AK54" s="34"/>
      <c r="AL54" s="19"/>
    </row>
    <row r="55" spans="1:38" x14ac:dyDescent="0.2">
      <c r="A55" s="99"/>
      <c r="B55" s="96" t="str">
        <f t="shared" si="35"/>
        <v>Control</v>
      </c>
      <c r="C55" s="97" t="s">
        <v>43</v>
      </c>
      <c r="D55" s="11">
        <v>14</v>
      </c>
      <c r="E55" s="54">
        <f t="shared" si="31"/>
        <v>398.29999999999995</v>
      </c>
      <c r="F55" s="11">
        <v>395.7</v>
      </c>
      <c r="G55" s="11">
        <v>400.9</v>
      </c>
      <c r="H55" s="11">
        <v>408.8</v>
      </c>
      <c r="I55" s="11">
        <v>396.7</v>
      </c>
      <c r="J55" s="11">
        <v>395.2</v>
      </c>
      <c r="K55" s="309" t="str">
        <f t="shared" si="13"/>
        <v/>
      </c>
      <c r="L55" s="310"/>
      <c r="M55" s="55">
        <f t="shared" si="14"/>
        <v>10.500000000000057</v>
      </c>
      <c r="N55" s="55">
        <f t="shared" si="32"/>
        <v>10.500000000000057</v>
      </c>
      <c r="O55" s="55">
        <f t="shared" si="15"/>
        <v>9.9160413535740339</v>
      </c>
      <c r="P55" s="55">
        <f t="shared" si="16"/>
        <v>8.6568032204075482</v>
      </c>
      <c r="Q55" s="309" t="str">
        <f t="shared" si="17"/>
        <v/>
      </c>
      <c r="R55" s="99"/>
      <c r="S55" s="31" t="str">
        <f t="shared" si="18"/>
        <v>Control</v>
      </c>
      <c r="T55" s="31" t="str">
        <f t="shared" si="19"/>
        <v>Bernie</v>
      </c>
      <c r="U55" s="54">
        <f t="shared" si="20"/>
        <v>14</v>
      </c>
      <c r="V55" s="54">
        <f t="shared" si="33"/>
        <v>598.71841840199204</v>
      </c>
      <c r="W55" s="55">
        <f t="shared" si="21"/>
        <v>598.06563483913783</v>
      </c>
      <c r="X55" s="55">
        <f t="shared" si="22"/>
        <v>599.37120196484614</v>
      </c>
      <c r="Y55" s="55">
        <f t="shared" si="23"/>
        <v>601.32260388894952</v>
      </c>
      <c r="Z55" s="55">
        <f t="shared" si="24"/>
        <v>598.31803275202844</v>
      </c>
      <c r="AA55" s="55">
        <f t="shared" si="25"/>
        <v>597.93919658737127</v>
      </c>
      <c r="AB55" s="314" t="str">
        <f t="shared" si="26"/>
        <v/>
      </c>
      <c r="AC55" s="315"/>
      <c r="AD55" s="55">
        <f t="shared" si="27"/>
        <v>2.6041854869574763</v>
      </c>
      <c r="AE55" s="55">
        <f t="shared" si="34"/>
        <v>2.6041854869574763</v>
      </c>
      <c r="AF55" s="55">
        <f t="shared" si="28"/>
        <v>2.4597019360604904</v>
      </c>
      <c r="AG55" s="55">
        <f t="shared" si="29"/>
        <v>2.1502167987924348</v>
      </c>
      <c r="AH55" s="309" t="str">
        <f t="shared" si="30"/>
        <v/>
      </c>
      <c r="AI55" s="48"/>
      <c r="AJ55" s="34"/>
      <c r="AK55" s="34"/>
      <c r="AL55" s="19"/>
    </row>
    <row r="56" spans="1:38" x14ac:dyDescent="0.2">
      <c r="A56" s="99"/>
      <c r="B56" s="96" t="str">
        <f t="shared" si="35"/>
        <v>Control</v>
      </c>
      <c r="C56" s="97" t="s">
        <v>44</v>
      </c>
      <c r="D56" s="11">
        <v>12.1</v>
      </c>
      <c r="E56" s="54">
        <f t="shared" si="31"/>
        <v>401.95</v>
      </c>
      <c r="F56" s="11">
        <v>398.7</v>
      </c>
      <c r="G56" s="11">
        <v>405.2</v>
      </c>
      <c r="H56" s="11">
        <v>412.3</v>
      </c>
      <c r="I56" s="11">
        <v>396.5</v>
      </c>
      <c r="J56" s="11">
        <v>397.8</v>
      </c>
      <c r="K56" s="309" t="str">
        <f t="shared" si="13"/>
        <v/>
      </c>
      <c r="L56" s="310"/>
      <c r="M56" s="55">
        <f t="shared" si="14"/>
        <v>10.350000000000023</v>
      </c>
      <c r="N56" s="55">
        <f t="shared" si="32"/>
        <v>10.350000000000023</v>
      </c>
      <c r="O56" s="55">
        <f t="shared" si="15"/>
        <v>10.85074825405999</v>
      </c>
      <c r="P56" s="55">
        <f t="shared" si="16"/>
        <v>9.3174684706912565</v>
      </c>
      <c r="Q56" s="309" t="str">
        <f t="shared" si="17"/>
        <v/>
      </c>
      <c r="R56" s="99"/>
      <c r="S56" s="31" t="str">
        <f t="shared" si="18"/>
        <v>Control</v>
      </c>
      <c r="T56" s="31" t="str">
        <f t="shared" si="19"/>
        <v>Casey</v>
      </c>
      <c r="U56" s="54">
        <f t="shared" si="20"/>
        <v>12.1</v>
      </c>
      <c r="V56" s="54">
        <f t="shared" si="33"/>
        <v>599.62950133809181</v>
      </c>
      <c r="W56" s="55">
        <f t="shared" si="21"/>
        <v>598.82092543873091</v>
      </c>
      <c r="X56" s="55">
        <f t="shared" si="22"/>
        <v>600.43807723745283</v>
      </c>
      <c r="Y56" s="55">
        <f t="shared" si="23"/>
        <v>602.17512397128542</v>
      </c>
      <c r="Z56" s="55">
        <f t="shared" si="24"/>
        <v>598.26760410749023</v>
      </c>
      <c r="AA56" s="55">
        <f t="shared" si="25"/>
        <v>598.59493664198715</v>
      </c>
      <c r="AB56" s="314" t="str">
        <f t="shared" si="26"/>
        <v/>
      </c>
      <c r="AC56" s="315"/>
      <c r="AD56" s="55">
        <f t="shared" si="27"/>
        <v>2.5456226331936023</v>
      </c>
      <c r="AE56" s="55">
        <f t="shared" si="34"/>
        <v>2.5456226331936023</v>
      </c>
      <c r="AF56" s="55">
        <f t="shared" si="28"/>
        <v>2.6744013695344537</v>
      </c>
      <c r="AG56" s="55">
        <f t="shared" si="29"/>
        <v>2.2913160995455928</v>
      </c>
      <c r="AH56" s="309" t="str">
        <f t="shared" si="30"/>
        <v/>
      </c>
      <c r="AI56" s="48"/>
      <c r="AJ56" s="34"/>
      <c r="AK56" s="34"/>
      <c r="AL56" s="19"/>
    </row>
    <row r="57" spans="1:38" x14ac:dyDescent="0.2">
      <c r="A57" s="99"/>
      <c r="B57" s="96" t="str">
        <f t="shared" si="35"/>
        <v>Control</v>
      </c>
      <c r="C57" s="97" t="s">
        <v>20</v>
      </c>
      <c r="D57" s="11">
        <v>8.6999999999999993</v>
      </c>
      <c r="E57" s="54">
        <f t="shared" si="31"/>
        <v>402.65</v>
      </c>
      <c r="F57" s="11">
        <v>396.9</v>
      </c>
      <c r="G57" s="11">
        <v>408.4</v>
      </c>
      <c r="H57" s="11">
        <v>406.1</v>
      </c>
      <c r="I57" s="11">
        <v>401.8</v>
      </c>
      <c r="J57" s="11">
        <v>405.5</v>
      </c>
      <c r="K57" s="309" t="str">
        <f t="shared" si="13"/>
        <v/>
      </c>
      <c r="L57" s="310"/>
      <c r="M57" s="55">
        <f t="shared" si="14"/>
        <v>3.4500000000000455</v>
      </c>
      <c r="N57" s="55">
        <f t="shared" si="32"/>
        <v>3.4500000000000455</v>
      </c>
      <c r="O57" s="55">
        <f t="shared" si="15"/>
        <v>4.1587742349751284</v>
      </c>
      <c r="P57" s="55">
        <f t="shared" si="16"/>
        <v>3.8681326027779757</v>
      </c>
      <c r="Q57" s="309" t="str">
        <f t="shared" si="17"/>
        <v/>
      </c>
      <c r="R57" s="99"/>
      <c r="S57" s="31" t="str">
        <f t="shared" si="18"/>
        <v>Control</v>
      </c>
      <c r="T57" s="31" t="str">
        <f t="shared" si="19"/>
        <v>Chris</v>
      </c>
      <c r="U57" s="54">
        <f t="shared" si="20"/>
        <v>8.6999999999999993</v>
      </c>
      <c r="V57" s="54">
        <f t="shared" si="33"/>
        <v>599.79657230397652</v>
      </c>
      <c r="W57" s="55">
        <f t="shared" si="21"/>
        <v>598.36843597890197</v>
      </c>
      <c r="X57" s="55">
        <f t="shared" si="22"/>
        <v>601.22470862905107</v>
      </c>
      <c r="Y57" s="55">
        <f t="shared" si="23"/>
        <v>600.65994346922525</v>
      </c>
      <c r="Z57" s="55">
        <f t="shared" si="24"/>
        <v>599.59544523808347</v>
      </c>
      <c r="AA57" s="55">
        <f t="shared" si="25"/>
        <v>600.51208735554678</v>
      </c>
      <c r="AB57" s="314" t="str">
        <f t="shared" si="26"/>
        <v/>
      </c>
      <c r="AC57" s="315"/>
      <c r="AD57" s="55">
        <f t="shared" si="27"/>
        <v>0.86337116524873636</v>
      </c>
      <c r="AE57" s="55">
        <f t="shared" si="34"/>
        <v>0.86337116524873636</v>
      </c>
      <c r="AF57" s="55">
        <f t="shared" si="28"/>
        <v>1.0422597131772449</v>
      </c>
      <c r="AG57" s="55">
        <f t="shared" si="29"/>
        <v>0.96635480284173192</v>
      </c>
      <c r="AH57" s="309" t="str">
        <f t="shared" si="30"/>
        <v/>
      </c>
      <c r="AI57" s="48"/>
      <c r="AJ57" s="34"/>
      <c r="AK57" s="34"/>
      <c r="AL57" s="19"/>
    </row>
    <row r="58" spans="1:38" x14ac:dyDescent="0.2">
      <c r="A58" s="99"/>
      <c r="B58" s="96" t="str">
        <f t="shared" si="35"/>
        <v>Control</v>
      </c>
      <c r="C58" s="97" t="s">
        <v>45</v>
      </c>
      <c r="D58" s="11">
        <v>7.6</v>
      </c>
      <c r="E58" s="54">
        <f t="shared" si="31"/>
        <v>394.75</v>
      </c>
      <c r="F58" s="11">
        <v>395.6</v>
      </c>
      <c r="G58" s="11">
        <v>393.9</v>
      </c>
      <c r="H58" s="11">
        <v>398.9</v>
      </c>
      <c r="I58" s="11">
        <v>398.2</v>
      </c>
      <c r="J58" s="11">
        <v>398.4</v>
      </c>
      <c r="K58" s="309" t="str">
        <f t="shared" si="13"/>
        <v/>
      </c>
      <c r="L58" s="310"/>
      <c r="M58" s="55">
        <f t="shared" si="14"/>
        <v>4.1499999999999773</v>
      </c>
      <c r="N58" s="55">
        <f t="shared" si="32"/>
        <v>4.1499999999999773</v>
      </c>
      <c r="O58" s="55">
        <f t="shared" si="15"/>
        <v>2.5110524503615759</v>
      </c>
      <c r="P58" s="55">
        <f t="shared" si="16"/>
        <v>5.0374651161000736</v>
      </c>
      <c r="Q58" s="309" t="str">
        <f t="shared" si="17"/>
        <v/>
      </c>
      <c r="R58" s="99"/>
      <c r="S58" s="31" t="str">
        <f t="shared" si="18"/>
        <v>Control</v>
      </c>
      <c r="T58" s="31" t="str">
        <f t="shared" si="19"/>
        <v>Corey</v>
      </c>
      <c r="U58" s="54">
        <f t="shared" si="20"/>
        <v>7.6</v>
      </c>
      <c r="V58" s="54">
        <f t="shared" si="33"/>
        <v>597.82503348627085</v>
      </c>
      <c r="W58" s="55">
        <f t="shared" si="21"/>
        <v>598.04035997485573</v>
      </c>
      <c r="X58" s="55">
        <f t="shared" si="22"/>
        <v>597.60970699768598</v>
      </c>
      <c r="Y58" s="55">
        <f t="shared" si="23"/>
        <v>598.87107589113612</v>
      </c>
      <c r="Z58" s="55">
        <f t="shared" si="24"/>
        <v>598.69543916300961</v>
      </c>
      <c r="AA58" s="55">
        <f t="shared" si="25"/>
        <v>598.74565257104427</v>
      </c>
      <c r="AB58" s="314" t="str">
        <f t="shared" si="26"/>
        <v/>
      </c>
      <c r="AC58" s="315"/>
      <c r="AD58" s="55">
        <f t="shared" si="27"/>
        <v>1.0460424048652612</v>
      </c>
      <c r="AE58" s="55">
        <f t="shared" si="34"/>
        <v>1.0460424048652612</v>
      </c>
      <c r="AF58" s="55">
        <f t="shared" si="28"/>
        <v>0.63360475694738772</v>
      </c>
      <c r="AG58" s="55">
        <f t="shared" si="29"/>
        <v>1.2646199213891702</v>
      </c>
      <c r="AH58" s="309" t="str">
        <f t="shared" si="30"/>
        <v/>
      </c>
      <c r="AI58" s="48"/>
      <c r="AJ58" s="34"/>
      <c r="AK58" s="34"/>
      <c r="AL58" s="19"/>
    </row>
    <row r="59" spans="1:38" x14ac:dyDescent="0.2">
      <c r="A59" s="99"/>
      <c r="B59" s="96" t="str">
        <f t="shared" si="35"/>
        <v>Control</v>
      </c>
      <c r="C59" s="97" t="s">
        <v>21</v>
      </c>
      <c r="D59" s="11">
        <v>12.4</v>
      </c>
      <c r="E59" s="54">
        <f t="shared" si="31"/>
        <v>403.54999999999995</v>
      </c>
      <c r="F59" s="11">
        <v>405.4</v>
      </c>
      <c r="G59" s="11">
        <v>401.7</v>
      </c>
      <c r="H59" s="11">
        <v>393.9</v>
      </c>
      <c r="I59" s="11">
        <v>382.9</v>
      </c>
      <c r="J59" s="11">
        <v>392.6</v>
      </c>
      <c r="K59" s="309" t="str">
        <f t="shared" si="13"/>
        <v/>
      </c>
      <c r="L59" s="310"/>
      <c r="M59" s="55">
        <f t="shared" si="14"/>
        <v>-9.6499999999999773</v>
      </c>
      <c r="N59" s="55">
        <f t="shared" si="32"/>
        <v>-9.6499999999999773</v>
      </c>
      <c r="O59" s="55">
        <f t="shared" si="15"/>
        <v>-8.6737637895626047</v>
      </c>
      <c r="P59" s="55">
        <f t="shared" si="16"/>
        <v>-10.810531305669334</v>
      </c>
      <c r="Q59" s="309" t="str">
        <f t="shared" si="17"/>
        <v/>
      </c>
      <c r="R59" s="99"/>
      <c r="S59" s="31" t="str">
        <f t="shared" si="18"/>
        <v>Control</v>
      </c>
      <c r="T59" s="31" t="str">
        <f t="shared" si="19"/>
        <v>Courtney</v>
      </c>
      <c r="U59" s="54">
        <f t="shared" si="20"/>
        <v>12.4</v>
      </c>
      <c r="V59" s="54">
        <f t="shared" si="33"/>
        <v>600.02898876915674</v>
      </c>
      <c r="W59" s="55">
        <f t="shared" si="21"/>
        <v>600.4874234017899</v>
      </c>
      <c r="X59" s="55">
        <f t="shared" si="22"/>
        <v>599.57055413652358</v>
      </c>
      <c r="Y59" s="55">
        <f t="shared" si="23"/>
        <v>597.60970699768598</v>
      </c>
      <c r="Z59" s="55">
        <f t="shared" si="24"/>
        <v>594.77738584832491</v>
      </c>
      <c r="AA59" s="55">
        <f t="shared" si="25"/>
        <v>597.27912818423613</v>
      </c>
      <c r="AB59" s="314" t="str">
        <f t="shared" si="26"/>
        <v/>
      </c>
      <c r="AC59" s="315"/>
      <c r="AD59" s="55">
        <f t="shared" si="27"/>
        <v>-2.4192817714707644</v>
      </c>
      <c r="AE59" s="55">
        <f t="shared" si="34"/>
        <v>-2.4192817714707644</v>
      </c>
      <c r="AF59" s="55">
        <f t="shared" si="28"/>
        <v>-2.1706842515591327</v>
      </c>
      <c r="AG59" s="55">
        <f t="shared" si="29"/>
        <v>-2.7051139084635683</v>
      </c>
      <c r="AH59" s="309" t="str">
        <f t="shared" si="30"/>
        <v/>
      </c>
      <c r="AI59" s="48"/>
      <c r="AJ59" s="34"/>
      <c r="AK59" s="34"/>
      <c r="AL59" s="19"/>
    </row>
    <row r="60" spans="1:38" x14ac:dyDescent="0.2">
      <c r="A60" s="99"/>
      <c r="B60" s="96" t="str">
        <f t="shared" si="35"/>
        <v>Control</v>
      </c>
      <c r="C60" s="97" t="s">
        <v>46</v>
      </c>
      <c r="D60" s="11">
        <v>7.3</v>
      </c>
      <c r="E60" s="54">
        <f t="shared" si="31"/>
        <v>409.2</v>
      </c>
      <c r="F60" s="11">
        <v>402.2</v>
      </c>
      <c r="G60" s="11">
        <v>416.2</v>
      </c>
      <c r="H60" s="11">
        <v>402.5</v>
      </c>
      <c r="I60" s="11">
        <v>403.6</v>
      </c>
      <c r="J60" s="11">
        <v>402.2</v>
      </c>
      <c r="K60" s="309" t="str">
        <f t="shared" si="13"/>
        <v/>
      </c>
      <c r="L60" s="310"/>
      <c r="M60" s="55">
        <f t="shared" si="14"/>
        <v>-6.6999999999999886</v>
      </c>
      <c r="N60" s="55">
        <f t="shared" si="32"/>
        <v>-6.6999999999999886</v>
      </c>
      <c r="O60" s="55">
        <f t="shared" si="15"/>
        <v>-4.0446969436048557</v>
      </c>
      <c r="P60" s="55">
        <f t="shared" si="16"/>
        <v>-5.6845351075393014</v>
      </c>
      <c r="Q60" s="309" t="str">
        <f t="shared" si="17"/>
        <v/>
      </c>
      <c r="R60" s="99"/>
      <c r="S60" s="31" t="str">
        <f t="shared" si="18"/>
        <v>Control</v>
      </c>
      <c r="T60" s="31" t="str">
        <f t="shared" si="19"/>
        <v>Devon</v>
      </c>
      <c r="U60" s="54">
        <f t="shared" si="20"/>
        <v>7.3</v>
      </c>
      <c r="V60" s="54">
        <f t="shared" si="33"/>
        <v>601.4057695649044</v>
      </c>
      <c r="W60" s="55">
        <f t="shared" si="21"/>
        <v>599.6949477338552</v>
      </c>
      <c r="X60" s="55">
        <f t="shared" si="22"/>
        <v>603.11659139595349</v>
      </c>
      <c r="Y60" s="55">
        <f t="shared" si="23"/>
        <v>599.76950968586186</v>
      </c>
      <c r="Z60" s="55">
        <f t="shared" si="24"/>
        <v>600.04242884794542</v>
      </c>
      <c r="AA60" s="55">
        <f t="shared" si="25"/>
        <v>599.6949477338552</v>
      </c>
      <c r="AB60" s="314" t="str">
        <f t="shared" si="26"/>
        <v/>
      </c>
      <c r="AC60" s="315"/>
      <c r="AD60" s="55">
        <f t="shared" si="27"/>
        <v>-1.6362598790425409</v>
      </c>
      <c r="AE60" s="55">
        <f t="shared" si="34"/>
        <v>-1.6362598790425409</v>
      </c>
      <c r="AF60" s="55">
        <f t="shared" si="28"/>
        <v>-0.97472270856331733</v>
      </c>
      <c r="AG60" s="55">
        <f t="shared" si="29"/>
        <v>-1.3861567591738373</v>
      </c>
      <c r="AH60" s="309" t="str">
        <f t="shared" si="30"/>
        <v/>
      </c>
      <c r="AI60" s="48"/>
      <c r="AJ60" s="34"/>
      <c r="AK60" s="34"/>
      <c r="AL60" s="19"/>
    </row>
    <row r="61" spans="1:38" x14ac:dyDescent="0.2">
      <c r="A61" s="99"/>
      <c r="B61" s="96" t="str">
        <f t="shared" si="35"/>
        <v>Control</v>
      </c>
      <c r="C61" s="97" t="s">
        <v>22</v>
      </c>
      <c r="D61" s="11">
        <v>12.3</v>
      </c>
      <c r="E61" s="54">
        <f t="shared" si="31"/>
        <v>401.95</v>
      </c>
      <c r="F61" s="11">
        <v>395.7</v>
      </c>
      <c r="G61" s="11">
        <v>408.2</v>
      </c>
      <c r="H61" s="11">
        <v>402.4</v>
      </c>
      <c r="I61" s="11">
        <v>393.8</v>
      </c>
      <c r="J61" s="11">
        <v>408.1</v>
      </c>
      <c r="K61" s="309" t="str">
        <f t="shared" si="13"/>
        <v/>
      </c>
      <c r="L61" s="310"/>
      <c r="M61" s="55">
        <f t="shared" si="14"/>
        <v>0.44999999999998863</v>
      </c>
      <c r="N61" s="55">
        <f t="shared" si="32"/>
        <v>0.44999999999998863</v>
      </c>
      <c r="O61" s="55">
        <f t="shared" si="15"/>
        <v>0.95074825405995544</v>
      </c>
      <c r="P61" s="55">
        <f t="shared" si="16"/>
        <v>-0.66786471354917198</v>
      </c>
      <c r="Q61" s="309" t="str">
        <f t="shared" si="17"/>
        <v/>
      </c>
      <c r="R61" s="99"/>
      <c r="S61" s="31" t="str">
        <f t="shared" si="18"/>
        <v>Control</v>
      </c>
      <c r="T61" s="31" t="str">
        <f t="shared" si="19"/>
        <v>Drew</v>
      </c>
      <c r="U61" s="54">
        <f t="shared" si="20"/>
        <v>12.3</v>
      </c>
      <c r="V61" s="54">
        <f t="shared" si="33"/>
        <v>599.62067993835615</v>
      </c>
      <c r="W61" s="55">
        <f t="shared" si="21"/>
        <v>598.06563483913783</v>
      </c>
      <c r="X61" s="55">
        <f t="shared" si="22"/>
        <v>601.17572503757447</v>
      </c>
      <c r="Y61" s="55">
        <f t="shared" si="23"/>
        <v>599.74466187855296</v>
      </c>
      <c r="Z61" s="55">
        <f t="shared" si="24"/>
        <v>597.58431662050248</v>
      </c>
      <c r="AA61" s="55">
        <f t="shared" si="25"/>
        <v>601.15122424117601</v>
      </c>
      <c r="AB61" s="314" t="str">
        <f t="shared" si="26"/>
        <v/>
      </c>
      <c r="AC61" s="315"/>
      <c r="AD61" s="55">
        <f t="shared" si="27"/>
        <v>0.12398194019681341</v>
      </c>
      <c r="AE61" s="55">
        <f t="shared" si="34"/>
        <v>0.12398194019681341</v>
      </c>
      <c r="AF61" s="55">
        <f t="shared" si="28"/>
        <v>0.25011486266837352</v>
      </c>
      <c r="AG61" s="55">
        <f t="shared" si="29"/>
        <v>-0.15134166234772584</v>
      </c>
      <c r="AH61" s="309" t="str">
        <f t="shared" si="30"/>
        <v/>
      </c>
      <c r="AI61" s="48"/>
      <c r="AJ61" s="34"/>
      <c r="AK61" s="34"/>
      <c r="AL61" s="19"/>
    </row>
    <row r="62" spans="1:38" x14ac:dyDescent="0.2">
      <c r="A62" s="99"/>
      <c r="B62" s="96" t="str">
        <f t="shared" si="35"/>
        <v>Control</v>
      </c>
      <c r="C62" s="97" t="s">
        <v>27</v>
      </c>
      <c r="D62" s="11">
        <v>9.1999999999999993</v>
      </c>
      <c r="E62" s="54">
        <f t="shared" si="31"/>
        <v>403.25</v>
      </c>
      <c r="F62" s="11">
        <v>398.3</v>
      </c>
      <c r="G62" s="11">
        <v>408.2</v>
      </c>
      <c r="H62" s="11">
        <v>398.8</v>
      </c>
      <c r="I62" s="11">
        <v>401.4</v>
      </c>
      <c r="J62" s="11">
        <v>391.2</v>
      </c>
      <c r="K62" s="309" t="str">
        <f t="shared" si="13"/>
        <v/>
      </c>
      <c r="L62" s="310"/>
      <c r="M62" s="55">
        <f t="shared" si="14"/>
        <v>-4.4499999999999886</v>
      </c>
      <c r="N62" s="55">
        <f t="shared" si="32"/>
        <v>-4.4499999999999886</v>
      </c>
      <c r="O62" s="55">
        <f t="shared" si="15"/>
        <v>-3.5629177813833679</v>
      </c>
      <c r="P62" s="55">
        <f t="shared" si="16"/>
        <v>-4.2452003578230428</v>
      </c>
      <c r="Q62" s="309" t="str">
        <f t="shared" si="17"/>
        <v/>
      </c>
      <c r="R62" s="99"/>
      <c r="S62" s="31" t="str">
        <f t="shared" si="18"/>
        <v>Control</v>
      </c>
      <c r="T62" s="31" t="str">
        <f t="shared" si="19"/>
        <v>Dylan</v>
      </c>
      <c r="U62" s="54">
        <f t="shared" si="20"/>
        <v>9.1999999999999993</v>
      </c>
      <c r="V62" s="54">
        <f t="shared" si="33"/>
        <v>599.94813702816714</v>
      </c>
      <c r="W62" s="55">
        <f t="shared" si="21"/>
        <v>598.72054901875981</v>
      </c>
      <c r="X62" s="55">
        <f t="shared" si="22"/>
        <v>601.17572503757447</v>
      </c>
      <c r="Y62" s="55">
        <f t="shared" si="23"/>
        <v>598.84600380876827</v>
      </c>
      <c r="Z62" s="55">
        <f t="shared" si="24"/>
        <v>599.49584363622375</v>
      </c>
      <c r="AA62" s="55">
        <f t="shared" si="25"/>
        <v>596.92189381606624</v>
      </c>
      <c r="AB62" s="314" t="str">
        <f t="shared" si="26"/>
        <v/>
      </c>
      <c r="AC62" s="315"/>
      <c r="AD62" s="55">
        <f t="shared" si="27"/>
        <v>-1.1021332193988655</v>
      </c>
      <c r="AE62" s="55">
        <f t="shared" si="34"/>
        <v>-1.1021332193988655</v>
      </c>
      <c r="AF62" s="55">
        <f t="shared" si="28"/>
        <v>-0.87778566707477335</v>
      </c>
      <c r="AG62" s="55">
        <f t="shared" si="29"/>
        <v>-1.0516922540471942</v>
      </c>
      <c r="AH62" s="309" t="str">
        <f t="shared" si="30"/>
        <v/>
      </c>
      <c r="AI62" s="48"/>
      <c r="AJ62" s="34"/>
      <c r="AK62" s="34"/>
      <c r="AL62" s="19"/>
    </row>
    <row r="63" spans="1:38" x14ac:dyDescent="0.2">
      <c r="A63" s="99"/>
      <c r="B63" s="96" t="str">
        <f t="shared" si="35"/>
        <v>Control</v>
      </c>
      <c r="C63" s="97" t="s">
        <v>47</v>
      </c>
      <c r="D63" s="11">
        <v>6.2</v>
      </c>
      <c r="E63" s="54">
        <f t="shared" si="31"/>
        <v>399.20000000000005</v>
      </c>
      <c r="F63" s="11">
        <v>397.3</v>
      </c>
      <c r="G63" s="11">
        <v>401.1</v>
      </c>
      <c r="H63" s="11">
        <v>398.1</v>
      </c>
      <c r="I63" s="11">
        <v>392.5</v>
      </c>
      <c r="J63" s="11">
        <v>396.3</v>
      </c>
      <c r="K63" s="309" t="str">
        <f t="shared" si="13"/>
        <v/>
      </c>
      <c r="L63" s="310"/>
      <c r="M63" s="55">
        <f t="shared" si="14"/>
        <v>-1.1000000000000227</v>
      </c>
      <c r="N63" s="55">
        <f t="shared" si="32"/>
        <v>-1.1000000000000227</v>
      </c>
      <c r="O63" s="55">
        <f t="shared" si="15"/>
        <v>-1.4164966709637228</v>
      </c>
      <c r="P63" s="55">
        <f t="shared" si="16"/>
        <v>0.38479740578283095</v>
      </c>
      <c r="Q63" s="309" t="str">
        <f t="shared" si="17"/>
        <v/>
      </c>
      <c r="R63" s="99"/>
      <c r="S63" s="31" t="str">
        <f t="shared" si="18"/>
        <v>Control</v>
      </c>
      <c r="T63" s="31" t="str">
        <f t="shared" si="19"/>
        <v>Frances</v>
      </c>
      <c r="U63" s="54">
        <f t="shared" si="20"/>
        <v>6.2</v>
      </c>
      <c r="V63" s="54">
        <f t="shared" si="33"/>
        <v>598.94512177982801</v>
      </c>
      <c r="W63" s="55">
        <f t="shared" si="21"/>
        <v>598.46916628205531</v>
      </c>
      <c r="X63" s="55">
        <f t="shared" si="22"/>
        <v>599.42107727760072</v>
      </c>
      <c r="Y63" s="55">
        <f t="shared" si="23"/>
        <v>598.67032300062715</v>
      </c>
      <c r="Z63" s="55">
        <f t="shared" si="24"/>
        <v>597.25365372224633</v>
      </c>
      <c r="AA63" s="55">
        <f t="shared" si="25"/>
        <v>598.21715001963889</v>
      </c>
      <c r="AB63" s="314" t="str">
        <f t="shared" si="26"/>
        <v/>
      </c>
      <c r="AC63" s="315"/>
      <c r="AD63" s="55">
        <f t="shared" si="27"/>
        <v>-0.27479877920086437</v>
      </c>
      <c r="AE63" s="55">
        <f t="shared" si="34"/>
        <v>-0.27479877920086437</v>
      </c>
      <c r="AF63" s="55">
        <f t="shared" si="28"/>
        <v>-0.35128689181514089</v>
      </c>
      <c r="AG63" s="55">
        <f t="shared" si="29"/>
        <v>9.0898219598752439E-2</v>
      </c>
      <c r="AH63" s="309" t="str">
        <f t="shared" si="30"/>
        <v/>
      </c>
      <c r="AI63" s="48"/>
      <c r="AJ63" s="34"/>
      <c r="AK63" s="34"/>
      <c r="AL63" s="19"/>
    </row>
    <row r="64" spans="1:38" x14ac:dyDescent="0.2">
      <c r="A64" s="99"/>
      <c r="B64" s="96" t="str">
        <f t="shared" si="35"/>
        <v>Control</v>
      </c>
      <c r="C64" s="97" t="s">
        <v>48</v>
      </c>
      <c r="D64" s="11">
        <v>9.4</v>
      </c>
      <c r="E64" s="54">
        <f t="shared" si="31"/>
        <v>397.45000000000005</v>
      </c>
      <c r="F64" s="11">
        <v>392.6</v>
      </c>
      <c r="G64" s="11">
        <v>402.3</v>
      </c>
      <c r="H64" s="11">
        <v>406.4</v>
      </c>
      <c r="I64" s="11">
        <v>396.9</v>
      </c>
      <c r="J64" s="11">
        <v>393.3</v>
      </c>
      <c r="K64" s="309" t="str">
        <f t="shared" si="13"/>
        <v/>
      </c>
      <c r="L64" s="310"/>
      <c r="M64" s="55">
        <f t="shared" si="14"/>
        <v>8.9499999999999318</v>
      </c>
      <c r="N64" s="55">
        <f t="shared" si="32"/>
        <v>8.9499999999999318</v>
      </c>
      <c r="O64" s="55">
        <f t="shared" si="15"/>
        <v>8.1134383767484337</v>
      </c>
      <c r="P64" s="55">
        <f t="shared" si="16"/>
        <v>9.0694664579364836</v>
      </c>
      <c r="Q64" s="309" t="str">
        <f t="shared" si="17"/>
        <v/>
      </c>
      <c r="R64" s="99"/>
      <c r="S64" s="31" t="str">
        <f t="shared" si="18"/>
        <v>Control</v>
      </c>
      <c r="T64" s="31" t="str">
        <f t="shared" si="19"/>
        <v>Gene</v>
      </c>
      <c r="U64" s="54">
        <f t="shared" si="20"/>
        <v>9.4</v>
      </c>
      <c r="V64" s="54">
        <f t="shared" si="33"/>
        <v>598.4994680399052</v>
      </c>
      <c r="W64" s="55">
        <f t="shared" si="21"/>
        <v>597.27912818423613</v>
      </c>
      <c r="X64" s="55">
        <f t="shared" si="22"/>
        <v>599.71980789557426</v>
      </c>
      <c r="Y64" s="55">
        <f t="shared" si="23"/>
        <v>600.73378962642721</v>
      </c>
      <c r="Z64" s="55">
        <f t="shared" si="24"/>
        <v>598.36843597890197</v>
      </c>
      <c r="AA64" s="55">
        <f t="shared" si="25"/>
        <v>597.4572679437764</v>
      </c>
      <c r="AB64" s="314" t="str">
        <f t="shared" si="26"/>
        <v/>
      </c>
      <c r="AC64" s="315"/>
      <c r="AD64" s="55">
        <f t="shared" si="27"/>
        <v>2.2343215865220145</v>
      </c>
      <c r="AE64" s="55">
        <f t="shared" si="34"/>
        <v>2.2343215865220145</v>
      </c>
      <c r="AF64" s="55">
        <f t="shared" si="28"/>
        <v>2.0241679694162027</v>
      </c>
      <c r="AG64" s="55">
        <f t="shared" si="29"/>
        <v>2.2637454829771562</v>
      </c>
      <c r="AH64" s="309" t="str">
        <f t="shared" si="30"/>
        <v/>
      </c>
      <c r="AI64" s="48"/>
      <c r="AJ64" s="34"/>
      <c r="AK64" s="34"/>
      <c r="AL64" s="19"/>
    </row>
    <row r="65" spans="1:38" x14ac:dyDescent="0.2">
      <c r="A65" s="99"/>
      <c r="B65" s="96" t="str">
        <f t="shared" si="35"/>
        <v>Control</v>
      </c>
      <c r="C65" s="97" t="s">
        <v>49</v>
      </c>
      <c r="D65" s="11">
        <v>7.6</v>
      </c>
      <c r="E65" s="54">
        <f t="shared" si="31"/>
        <v>408.1</v>
      </c>
      <c r="F65" s="11">
        <v>404.1</v>
      </c>
      <c r="G65" s="11">
        <v>412.1</v>
      </c>
      <c r="H65" s="11">
        <v>406.3</v>
      </c>
      <c r="I65" s="11">
        <v>408.1</v>
      </c>
      <c r="J65" s="11">
        <v>410.8</v>
      </c>
      <c r="K65" s="309" t="str">
        <f t="shared" si="13"/>
        <v/>
      </c>
      <c r="L65" s="310"/>
      <c r="M65" s="55">
        <f t="shared" si="14"/>
        <v>-1.8000000000000114</v>
      </c>
      <c r="N65" s="55">
        <f t="shared" si="32"/>
        <v>-1.8000000000000114</v>
      </c>
      <c r="O65" s="55">
        <f t="shared" si="15"/>
        <v>0.52840508638565842</v>
      </c>
      <c r="P65" s="55">
        <f t="shared" si="16"/>
        <v>-0.91253488389991477</v>
      </c>
      <c r="Q65" s="309" t="str">
        <f t="shared" si="17"/>
        <v/>
      </c>
      <c r="R65" s="99"/>
      <c r="S65" s="31" t="str">
        <f t="shared" si="18"/>
        <v>Control</v>
      </c>
      <c r="T65" s="31" t="str">
        <f t="shared" si="19"/>
        <v>Jaimie</v>
      </c>
      <c r="U65" s="54">
        <f t="shared" si="20"/>
        <v>7.6</v>
      </c>
      <c r="V65" s="54">
        <f t="shared" si="33"/>
        <v>601.14642052145996</v>
      </c>
      <c r="W65" s="55">
        <f t="shared" si="21"/>
        <v>600.16623720844279</v>
      </c>
      <c r="X65" s="55">
        <f t="shared" si="22"/>
        <v>602.12660383447712</v>
      </c>
      <c r="Y65" s="55">
        <f t="shared" si="23"/>
        <v>600.70918029936809</v>
      </c>
      <c r="Z65" s="55">
        <f t="shared" si="24"/>
        <v>601.15122424117601</v>
      </c>
      <c r="AA65" s="55">
        <f t="shared" si="25"/>
        <v>601.81064780544034</v>
      </c>
      <c r="AB65" s="314" t="str">
        <f t="shared" si="26"/>
        <v/>
      </c>
      <c r="AC65" s="315"/>
      <c r="AD65" s="55">
        <f t="shared" si="27"/>
        <v>-0.43724022209187297</v>
      </c>
      <c r="AE65" s="55">
        <f t="shared" si="34"/>
        <v>-0.43724022209187297</v>
      </c>
      <c r="AF65" s="55">
        <f t="shared" si="28"/>
        <v>0.14651005325795574</v>
      </c>
      <c r="AG65" s="55">
        <f t="shared" si="29"/>
        <v>-0.21866270556796402</v>
      </c>
      <c r="AH65" s="309" t="str">
        <f t="shared" si="30"/>
        <v/>
      </c>
      <c r="AI65" s="48"/>
      <c r="AJ65" s="34"/>
      <c r="AK65" s="34"/>
      <c r="AL65" s="19"/>
    </row>
    <row r="66" spans="1:38" x14ac:dyDescent="0.2">
      <c r="A66" s="99"/>
      <c r="B66" s="96" t="str">
        <f t="shared" si="35"/>
        <v>Control</v>
      </c>
      <c r="C66" s="97" t="s">
        <v>50</v>
      </c>
      <c r="D66" s="11">
        <v>14.7</v>
      </c>
      <c r="E66" s="54">
        <f t="shared" si="31"/>
        <v>408.9</v>
      </c>
      <c r="F66" s="11">
        <v>413.5</v>
      </c>
      <c r="G66" s="11">
        <v>404.3</v>
      </c>
      <c r="H66" s="11">
        <v>409.5</v>
      </c>
      <c r="I66" s="11">
        <v>402.6</v>
      </c>
      <c r="J66" s="11">
        <v>413.3</v>
      </c>
      <c r="K66" s="309" t="str">
        <f t="shared" si="13"/>
        <v/>
      </c>
      <c r="L66" s="310"/>
      <c r="M66" s="55">
        <f t="shared" si="14"/>
        <v>0.60000000000002274</v>
      </c>
      <c r="N66" s="55">
        <f t="shared" si="32"/>
        <v>0.60000000000002274</v>
      </c>
      <c r="O66" s="55">
        <f t="shared" si="15"/>
        <v>3.1661490645743866</v>
      </c>
      <c r="P66" s="55">
        <f t="shared" si="16"/>
        <v>-1.5418629244338642</v>
      </c>
      <c r="Q66" s="309" t="str">
        <f t="shared" si="17"/>
        <v/>
      </c>
      <c r="R66" s="99"/>
      <c r="S66" s="31" t="str">
        <f t="shared" si="18"/>
        <v>Control</v>
      </c>
      <c r="T66" s="31" t="str">
        <f t="shared" si="19"/>
        <v>Jean</v>
      </c>
      <c r="U66" s="54">
        <f t="shared" si="20"/>
        <v>14.7</v>
      </c>
      <c r="V66" s="54">
        <f t="shared" si="33"/>
        <v>601.34073455552357</v>
      </c>
      <c r="W66" s="55">
        <f t="shared" si="21"/>
        <v>602.46575144637461</v>
      </c>
      <c r="X66" s="55">
        <f t="shared" si="22"/>
        <v>600.21571766467252</v>
      </c>
      <c r="Y66" s="55">
        <f t="shared" si="23"/>
        <v>601.49369032931247</v>
      </c>
      <c r="Z66" s="55">
        <f t="shared" si="24"/>
        <v>599.79435132056915</v>
      </c>
      <c r="AA66" s="55">
        <f t="shared" si="25"/>
        <v>602.41737215176863</v>
      </c>
      <c r="AB66" s="314" t="str">
        <f t="shared" si="26"/>
        <v/>
      </c>
      <c r="AC66" s="315"/>
      <c r="AD66" s="55">
        <f t="shared" si="27"/>
        <v>0.15295577378890357</v>
      </c>
      <c r="AE66" s="55">
        <f t="shared" si="34"/>
        <v>0.15295577378890357</v>
      </c>
      <c r="AF66" s="55">
        <f t="shared" si="28"/>
        <v>0.79498690951566064</v>
      </c>
      <c r="AG66" s="55">
        <f t="shared" si="29"/>
        <v>-0.37457265551399199</v>
      </c>
      <c r="AH66" s="309" t="str">
        <f t="shared" si="30"/>
        <v/>
      </c>
      <c r="AI66" s="48"/>
      <c r="AJ66" s="34"/>
      <c r="AK66" s="34"/>
      <c r="AL66" s="19"/>
    </row>
    <row r="67" spans="1:38" x14ac:dyDescent="0.2">
      <c r="A67" s="99"/>
      <c r="B67" s="96" t="str">
        <f t="shared" si="35"/>
        <v>Control</v>
      </c>
      <c r="C67" s="97" t="s">
        <v>24</v>
      </c>
      <c r="D67" s="11">
        <v>11.1</v>
      </c>
      <c r="E67" s="54">
        <f t="shared" si="31"/>
        <v>395.85</v>
      </c>
      <c r="F67" s="11">
        <v>393.9</v>
      </c>
      <c r="G67" s="11">
        <v>397.8</v>
      </c>
      <c r="H67" s="11">
        <v>400.2</v>
      </c>
      <c r="I67" s="11">
        <v>388.5</v>
      </c>
      <c r="J67" s="11">
        <v>393.5</v>
      </c>
      <c r="K67" s="309" t="str">
        <f t="shared" si="13"/>
        <v/>
      </c>
      <c r="L67" s="310"/>
      <c r="M67" s="55">
        <f t="shared" si="14"/>
        <v>4.3499999999999659</v>
      </c>
      <c r="N67" s="55">
        <f t="shared" si="32"/>
        <v>4.3499999999999659</v>
      </c>
      <c r="O67" s="55">
        <f t="shared" si="15"/>
        <v>3.0379504203710446</v>
      </c>
      <c r="P67" s="55">
        <f t="shared" si="16"/>
        <v>3.7441343918931693</v>
      </c>
      <c r="Q67" s="309" t="str">
        <f t="shared" si="17"/>
        <v/>
      </c>
      <c r="R67" s="99"/>
      <c r="S67" s="31" t="str">
        <f t="shared" si="18"/>
        <v>Control</v>
      </c>
      <c r="T67" s="31" t="str">
        <f t="shared" si="19"/>
        <v>Jesse</v>
      </c>
      <c r="U67" s="54">
        <f t="shared" si="20"/>
        <v>11.1</v>
      </c>
      <c r="V67" s="54">
        <f t="shared" si="33"/>
        <v>598.10232181983656</v>
      </c>
      <c r="W67" s="55">
        <f t="shared" si="21"/>
        <v>597.60970699768598</v>
      </c>
      <c r="X67" s="55">
        <f t="shared" si="22"/>
        <v>598.59493664198715</v>
      </c>
      <c r="Y67" s="55">
        <f t="shared" si="23"/>
        <v>599.19644221496333</v>
      </c>
      <c r="Z67" s="55">
        <f t="shared" si="24"/>
        <v>596.22931698077025</v>
      </c>
      <c r="AA67" s="55">
        <f t="shared" si="25"/>
        <v>597.50810678574578</v>
      </c>
      <c r="AB67" s="314" t="str">
        <f t="shared" si="26"/>
        <v/>
      </c>
      <c r="AC67" s="315"/>
      <c r="AD67" s="55">
        <f t="shared" si="27"/>
        <v>1.0941203951267653</v>
      </c>
      <c r="AE67" s="55">
        <f t="shared" si="34"/>
        <v>1.0941203951267653</v>
      </c>
      <c r="AF67" s="55">
        <f t="shared" si="28"/>
        <v>0.76485019690222633</v>
      </c>
      <c r="AG67" s="55">
        <f t="shared" si="29"/>
        <v>0.94489920596140442</v>
      </c>
      <c r="AH67" s="309" t="str">
        <f t="shared" si="30"/>
        <v/>
      </c>
      <c r="AI67" s="48"/>
      <c r="AJ67" s="34"/>
      <c r="AK67" s="34"/>
      <c r="AL67" s="19"/>
    </row>
    <row r="68" spans="1:38" x14ac:dyDescent="0.2">
      <c r="A68" s="99"/>
      <c r="B68" s="96" t="str">
        <f t="shared" si="35"/>
        <v>Control</v>
      </c>
      <c r="C68" s="97" t="s">
        <v>23</v>
      </c>
      <c r="D68" s="11">
        <v>11.4</v>
      </c>
      <c r="E68" s="54">
        <f t="shared" si="31"/>
        <v>404.8</v>
      </c>
      <c r="F68" s="11">
        <v>412.6</v>
      </c>
      <c r="G68" s="11">
        <v>397</v>
      </c>
      <c r="H68" s="11">
        <v>413.1</v>
      </c>
      <c r="I68" s="11">
        <v>415.4</v>
      </c>
      <c r="J68" s="11">
        <v>397.8</v>
      </c>
      <c r="K68" s="309" t="str">
        <f t="shared" si="13"/>
        <v/>
      </c>
      <c r="L68" s="310"/>
      <c r="M68" s="55">
        <f t="shared" si="14"/>
        <v>8.3000000000000114</v>
      </c>
      <c r="N68" s="55">
        <f t="shared" si="32"/>
        <v>8.3000000000000114</v>
      </c>
      <c r="O68" s="55">
        <f t="shared" si="15"/>
        <v>9.6477111763572569</v>
      </c>
      <c r="P68" s="55">
        <f t="shared" si="16"/>
        <v>7.5661346155326239</v>
      </c>
      <c r="Q68" s="309" t="str">
        <f t="shared" si="17"/>
        <v/>
      </c>
      <c r="R68" s="99"/>
      <c r="S68" s="31" t="str">
        <f t="shared" si="18"/>
        <v>Control</v>
      </c>
      <c r="T68" s="31" t="str">
        <f t="shared" si="19"/>
        <v>Jo</v>
      </c>
      <c r="U68" s="54">
        <f t="shared" si="20"/>
        <v>11.4</v>
      </c>
      <c r="V68" s="54">
        <f t="shared" si="33"/>
        <v>600.32074406621712</v>
      </c>
      <c r="W68" s="55">
        <f t="shared" si="21"/>
        <v>602.24786006371517</v>
      </c>
      <c r="X68" s="55">
        <f t="shared" si="22"/>
        <v>598.39362806871907</v>
      </c>
      <c r="Y68" s="55">
        <f t="shared" si="23"/>
        <v>602.36896944027183</v>
      </c>
      <c r="Z68" s="55">
        <f t="shared" si="24"/>
        <v>602.92419114420113</v>
      </c>
      <c r="AA68" s="55">
        <f t="shared" si="25"/>
        <v>598.59493664198715</v>
      </c>
      <c r="AB68" s="314" t="str">
        <f t="shared" si="26"/>
        <v/>
      </c>
      <c r="AC68" s="315"/>
      <c r="AD68" s="55">
        <f t="shared" si="27"/>
        <v>2.0482253740547094</v>
      </c>
      <c r="AE68" s="55">
        <f t="shared" si="34"/>
        <v>2.0482253740547094</v>
      </c>
      <c r="AF68" s="55">
        <f t="shared" si="28"/>
        <v>2.38432943879284</v>
      </c>
      <c r="AG68" s="55">
        <f t="shared" si="29"/>
        <v>1.8674785815445538</v>
      </c>
      <c r="AH68" s="309" t="str">
        <f t="shared" si="30"/>
        <v/>
      </c>
      <c r="AI68" s="48"/>
      <c r="AJ68" s="34"/>
      <c r="AK68" s="34"/>
      <c r="AL68" s="19"/>
    </row>
    <row r="69" spans="1:38" x14ac:dyDescent="0.2">
      <c r="A69" s="99"/>
      <c r="B69" s="96" t="str">
        <f t="shared" si="35"/>
        <v>Control</v>
      </c>
      <c r="C69" s="97" t="s">
        <v>51</v>
      </c>
      <c r="D69" s="11">
        <v>9.1999999999999993</v>
      </c>
      <c r="E69" s="54">
        <f t="shared" si="31"/>
        <v>391.2</v>
      </c>
      <c r="F69" s="11">
        <v>391.5</v>
      </c>
      <c r="G69" s="11">
        <v>390.9</v>
      </c>
      <c r="H69" s="11">
        <v>395.3</v>
      </c>
      <c r="I69" s="11">
        <v>395.8</v>
      </c>
      <c r="J69" s="11">
        <v>396.8</v>
      </c>
      <c r="K69" s="309" t="str">
        <f t="shared" si="13"/>
        <v/>
      </c>
      <c r="L69" s="311"/>
      <c r="M69" s="55">
        <f t="shared" si="14"/>
        <v>4.1000000000000227</v>
      </c>
      <c r="N69" s="55">
        <f t="shared" si="32"/>
        <v>4.1000000000000227</v>
      </c>
      <c r="O69" s="55">
        <f t="shared" si="15"/>
        <v>1.406063547149226</v>
      </c>
      <c r="P69" s="55">
        <f t="shared" si="16"/>
        <v>4.3047996421769685</v>
      </c>
      <c r="Q69" s="309" t="str">
        <f t="shared" si="17"/>
        <v/>
      </c>
      <c r="R69" s="99"/>
      <c r="S69" s="31" t="str">
        <f t="shared" si="18"/>
        <v>Control</v>
      </c>
      <c r="T69" s="31" t="str">
        <f t="shared" si="19"/>
        <v xml:space="preserve">Jody </v>
      </c>
      <c r="U69" s="54">
        <f t="shared" si="20"/>
        <v>9.1999999999999993</v>
      </c>
      <c r="V69" s="54">
        <f t="shared" si="33"/>
        <v>596.92186441148829</v>
      </c>
      <c r="W69" s="55">
        <f t="shared" si="21"/>
        <v>596.9985515430858</v>
      </c>
      <c r="X69" s="55">
        <f t="shared" si="22"/>
        <v>596.84517727989089</v>
      </c>
      <c r="Y69" s="55">
        <f t="shared" si="23"/>
        <v>597.96449703026394</v>
      </c>
      <c r="Z69" s="55">
        <f t="shared" si="24"/>
        <v>598.09090331684661</v>
      </c>
      <c r="AA69" s="55">
        <f t="shared" si="25"/>
        <v>598.34323754107186</v>
      </c>
      <c r="AB69" s="314" t="str">
        <f t="shared" si="26"/>
        <v/>
      </c>
      <c r="AC69" s="315"/>
      <c r="AD69" s="55">
        <f t="shared" si="27"/>
        <v>1.0426326187756558</v>
      </c>
      <c r="AE69" s="55">
        <f t="shared" si="34"/>
        <v>1.0426326187756558</v>
      </c>
      <c r="AF69" s="55">
        <f t="shared" si="28"/>
        <v>0.35930629831377336</v>
      </c>
      <c r="AG69" s="55">
        <f t="shared" si="29"/>
        <v>1.0930735841273271</v>
      </c>
      <c r="AH69" s="309" t="str">
        <f t="shared" si="30"/>
        <v/>
      </c>
      <c r="AI69" s="48"/>
      <c r="AJ69" s="34"/>
      <c r="AK69" s="34"/>
      <c r="AL69" s="19"/>
    </row>
    <row r="70" spans="1:38" x14ac:dyDescent="0.2">
      <c r="A70" s="99"/>
      <c r="B70" s="96" t="str">
        <f t="shared" si="35"/>
        <v>Control</v>
      </c>
      <c r="C70" s="97" t="s">
        <v>52</v>
      </c>
      <c r="D70" s="11">
        <v>10</v>
      </c>
      <c r="E70" s="54">
        <f t="shared" si="31"/>
        <v>398.1</v>
      </c>
      <c r="F70" s="11">
        <v>396</v>
      </c>
      <c r="G70" s="11">
        <v>400.2</v>
      </c>
      <c r="H70" s="11">
        <v>399.1</v>
      </c>
      <c r="I70" s="11">
        <v>399</v>
      </c>
      <c r="J70" s="11">
        <v>406.8</v>
      </c>
      <c r="K70" s="309" t="str">
        <f t="shared" si="13"/>
        <v/>
      </c>
      <c r="L70" s="310"/>
      <c r="M70" s="55">
        <f t="shared" si="14"/>
        <v>1</v>
      </c>
      <c r="N70" s="55">
        <f t="shared" si="32"/>
        <v>1</v>
      </c>
      <c r="O70" s="55">
        <f t="shared" si="15"/>
        <v>0.35660535902681978</v>
      </c>
      <c r="P70" s="55">
        <f t="shared" si="16"/>
        <v>0.86346690521536962</v>
      </c>
      <c r="Q70" s="309" t="str">
        <f t="shared" si="17"/>
        <v/>
      </c>
      <c r="R70" s="99"/>
      <c r="S70" s="31" t="str">
        <f t="shared" si="18"/>
        <v>Control</v>
      </c>
      <c r="T70" s="31" t="str">
        <f t="shared" si="19"/>
        <v>Jordan</v>
      </c>
      <c r="U70" s="54">
        <f t="shared" si="20"/>
        <v>10</v>
      </c>
      <c r="V70" s="54">
        <f t="shared" si="33"/>
        <v>598.66893167020567</v>
      </c>
      <c r="W70" s="55">
        <f t="shared" si="21"/>
        <v>598.14142112544801</v>
      </c>
      <c r="X70" s="55">
        <f t="shared" si="22"/>
        <v>599.19644221496333</v>
      </c>
      <c r="Y70" s="55">
        <f t="shared" si="23"/>
        <v>598.92120120546883</v>
      </c>
      <c r="Z70" s="55">
        <f t="shared" si="24"/>
        <v>598.8961416889864</v>
      </c>
      <c r="AA70" s="55">
        <f t="shared" si="25"/>
        <v>600.83216641744048</v>
      </c>
      <c r="AB70" s="314" t="str">
        <f t="shared" si="26"/>
        <v/>
      </c>
      <c r="AC70" s="315"/>
      <c r="AD70" s="55">
        <f t="shared" si="27"/>
        <v>0.2522695352631672</v>
      </c>
      <c r="AE70" s="55">
        <f t="shared" si="34"/>
        <v>0.2522695352631672</v>
      </c>
      <c r="AF70" s="55">
        <f t="shared" si="28"/>
        <v>9.2943364687933711E-2</v>
      </c>
      <c r="AG70" s="55">
        <f t="shared" si="29"/>
        <v>0.21864222502871963</v>
      </c>
      <c r="AH70" s="309" t="str">
        <f t="shared" si="30"/>
        <v/>
      </c>
      <c r="AI70" s="48"/>
      <c r="AJ70" s="34"/>
      <c r="AK70" s="34"/>
      <c r="AL70" s="19"/>
    </row>
    <row r="71" spans="1:38" x14ac:dyDescent="0.2">
      <c r="A71" s="99"/>
      <c r="B71" s="96" t="str">
        <f t="shared" si="35"/>
        <v>Control</v>
      </c>
      <c r="C71" s="97" t="s">
        <v>25</v>
      </c>
      <c r="D71" s="11">
        <v>7.1</v>
      </c>
      <c r="E71" s="54">
        <f t="shared" si="31"/>
        <v>408.1</v>
      </c>
      <c r="F71" s="11">
        <v>415.2</v>
      </c>
      <c r="G71" s="11">
        <v>401</v>
      </c>
      <c r="H71" s="11">
        <v>412.9</v>
      </c>
      <c r="I71" s="11">
        <v>417</v>
      </c>
      <c r="J71" s="11">
        <v>403.4</v>
      </c>
      <c r="K71" s="309" t="str">
        <f t="shared" si="13"/>
        <v/>
      </c>
      <c r="L71" s="310"/>
      <c r="M71" s="55">
        <f t="shared" si="14"/>
        <v>4.7999999999999545</v>
      </c>
      <c r="N71" s="55">
        <f t="shared" si="32"/>
        <v>4.7999999999999545</v>
      </c>
      <c r="O71" s="55">
        <f t="shared" si="15"/>
        <v>7.1284050863856248</v>
      </c>
      <c r="P71" s="55">
        <f t="shared" si="16"/>
        <v>5.9007980767010357</v>
      </c>
      <c r="Q71" s="309" t="str">
        <f t="shared" si="17"/>
        <v/>
      </c>
      <c r="R71" s="99"/>
      <c r="S71" s="31" t="str">
        <f t="shared" si="18"/>
        <v>Control</v>
      </c>
      <c r="T71" s="31" t="str">
        <f t="shared" si="19"/>
        <v>Kelly</v>
      </c>
      <c r="U71" s="54">
        <f t="shared" si="20"/>
        <v>7.1</v>
      </c>
      <c r="V71" s="54">
        <f t="shared" si="33"/>
        <v>601.13608795791242</v>
      </c>
      <c r="W71" s="55">
        <f t="shared" si="21"/>
        <v>602.8760331851679</v>
      </c>
      <c r="X71" s="55">
        <f t="shared" si="22"/>
        <v>599.39614273065695</v>
      </c>
      <c r="Y71" s="55">
        <f t="shared" si="23"/>
        <v>602.32054328920447</v>
      </c>
      <c r="Z71" s="55">
        <f t="shared" si="24"/>
        <v>603.3086221798801</v>
      </c>
      <c r="AA71" s="55">
        <f t="shared" si="25"/>
        <v>599.99286255201105</v>
      </c>
      <c r="AB71" s="314" t="str">
        <f t="shared" si="26"/>
        <v/>
      </c>
      <c r="AC71" s="316"/>
      <c r="AD71" s="55">
        <f t="shared" si="27"/>
        <v>1.1844553312920425</v>
      </c>
      <c r="AE71" s="55">
        <f t="shared" si="34"/>
        <v>1.1844553312920425</v>
      </c>
      <c r="AF71" s="55">
        <f t="shared" si="28"/>
        <v>1.7651065474496126</v>
      </c>
      <c r="AG71" s="55">
        <f t="shared" si="29"/>
        <v>1.4555755200572758</v>
      </c>
      <c r="AH71" s="309" t="str">
        <f t="shared" si="30"/>
        <v/>
      </c>
      <c r="AI71" s="48"/>
      <c r="AJ71" s="34"/>
      <c r="AK71" s="34"/>
      <c r="AL71" s="19"/>
    </row>
    <row r="72" spans="1:38" x14ac:dyDescent="0.2">
      <c r="A72" s="99"/>
      <c r="B72" s="102"/>
      <c r="C72" s="103" t="s">
        <v>1</v>
      </c>
      <c r="D72" s="83">
        <f t="shared" ref="D72:J72" si="36">AVERAGE(D52:D71)</f>
        <v>9.77</v>
      </c>
      <c r="E72" s="83">
        <f t="shared" si="36"/>
        <v>401.38500000000005</v>
      </c>
      <c r="F72" s="83">
        <f t="shared" si="36"/>
        <v>400.54</v>
      </c>
      <c r="G72" s="83">
        <f t="shared" ref="G72:I72" si="37">AVERAGE(G52:G71)</f>
        <v>402.23</v>
      </c>
      <c r="H72" s="83">
        <f t="shared" si="37"/>
        <v>403.6</v>
      </c>
      <c r="I72" s="83">
        <f t="shared" si="37"/>
        <v>399.69500000000005</v>
      </c>
      <c r="J72" s="83">
        <f t="shared" si="36"/>
        <v>399.62500000000006</v>
      </c>
      <c r="K72" s="104"/>
      <c r="L72" s="115" t="s">
        <v>151</v>
      </c>
      <c r="M72" s="83">
        <f>IF(ISNUMBER(M$47),SLOPE(M52:M71,D52:D71)*IF(M$47=-1,D72,M$47),IF(ISNUMBER(M$44),FORECAST(M$44,M52:M71,D52:D71),AVERAGE(M52:M71)))</f>
        <v>2.2150000000000034</v>
      </c>
      <c r="N72" s="83">
        <f>IF(ISNUMBER(N$47),SLOPE(N52:N71,E52:E71)*IF(N$47=-1,E72,N$47),IF(ISNUMBER(N$44),FORECAST(N$44,N52:N71,E52:E71),AVERAGE(N52:N71)))</f>
        <v>2.2150000000000034</v>
      </c>
      <c r="O72" s="83">
        <f>IF(ISNUMBER(O$47),D80*IF(O$47=-1,D72,O$47),E80+O$44*D80+P$44*C80)</f>
        <v>2.5094416365560477</v>
      </c>
      <c r="P72" s="84">
        <f>IF(ISNUMBER(P$47),C80*IF(P$47=-1,E72,P$47),E80+O$44*D80+P$44*C80)</f>
        <v>2.5094416365560477</v>
      </c>
      <c r="Q72" s="37"/>
      <c r="R72" s="99"/>
      <c r="S72" s="102"/>
      <c r="T72" s="103" t="s">
        <v>1</v>
      </c>
      <c r="U72" s="83">
        <f t="shared" ref="U72:AA72" si="38">AVERAGE(U52:U71)</f>
        <v>9.77</v>
      </c>
      <c r="V72" s="83">
        <f t="shared" si="38"/>
        <v>599.47858719861472</v>
      </c>
      <c r="W72" s="105">
        <f t="shared" si="38"/>
        <v>599.26634585482748</v>
      </c>
      <c r="X72" s="105">
        <f t="shared" ref="X72:Z72" si="39">AVERAGE(X52:X71)</f>
        <v>599.69082854240185</v>
      </c>
      <c r="Y72" s="105">
        <f t="shared" si="39"/>
        <v>600.03059197780999</v>
      </c>
      <c r="Z72" s="105">
        <f t="shared" si="39"/>
        <v>599.05040211573873</v>
      </c>
      <c r="AA72" s="105">
        <f t="shared" si="38"/>
        <v>599.04049347599789</v>
      </c>
      <c r="AB72" s="105"/>
      <c r="AC72" s="115" t="s">
        <v>176</v>
      </c>
      <c r="AD72" s="106">
        <f>IF(ISNUMBER(AD$47),SLOPE(AD52:AD71,U52:U71)*IF(AD$47=-1,U72,AD$47),IF(ISNUMBER(AD$44),FORECAST(AD$44,AD52:AD71,U52:U71),AVERAGE(AD52:AD71)))</f>
        <v>0.55200477919528912</v>
      </c>
      <c r="AE72" s="106">
        <f>IF(ISNUMBER(AE$47),SLOPE(AE52:AE71,V52:V71)*IF(AE$47=-1,V72,AE$47),IF(ISNUMBER(AE$44),FORECAST(AE$44,AE52:AE71,V52:V71),AVERAGE(AE52:AE71)))</f>
        <v>0.55200477919528912</v>
      </c>
      <c r="AF72" s="106">
        <f>IF(ISNUMBER(AF$47),U80*IF(AF$47=-1,U72,AF$47),V80+AF$44*U80+AG$44*T80)</f>
        <v>0.62606196085445731</v>
      </c>
      <c r="AG72" s="106">
        <f>IF(ISNUMBER(AG$47),T80*IF(AG$47=-1,V72,AG$47),V80+AF$44*U80+AG$44*T80)</f>
        <v>0.62606196085445731</v>
      </c>
      <c r="AH72" s="118"/>
      <c r="AI72" s="107"/>
      <c r="AJ72" s="34"/>
      <c r="AK72" s="34"/>
      <c r="AL72" s="19"/>
    </row>
    <row r="73" spans="1:38" x14ac:dyDescent="0.2">
      <c r="A73" s="99"/>
      <c r="B73" s="108"/>
      <c r="C73" s="109" t="s">
        <v>2</v>
      </c>
      <c r="D73" s="85">
        <f t="shared" ref="D73:J73" si="40">STDEV(D52:D71)</f>
        <v>2.5160746369985505</v>
      </c>
      <c r="E73" s="85">
        <f t="shared" si="40"/>
        <v>5.1947367087932532</v>
      </c>
      <c r="F73" s="85">
        <f t="shared" si="40"/>
        <v>7.1564030953515942</v>
      </c>
      <c r="G73" s="85">
        <f t="shared" ref="G73:I73" si="41">STDEV(G52:G71)</f>
        <v>6.2891803499092171</v>
      </c>
      <c r="H73" s="85">
        <f t="shared" si="41"/>
        <v>6.3709042570605003</v>
      </c>
      <c r="I73" s="85">
        <f t="shared" si="41"/>
        <v>8.1710963639816239</v>
      </c>
      <c r="J73" s="85">
        <f t="shared" si="40"/>
        <v>6.4178103332588616</v>
      </c>
      <c r="K73" s="110"/>
      <c r="L73" s="111" t="s">
        <v>152</v>
      </c>
      <c r="M73" s="86">
        <f>IF(OR(ISNUMBER(M$47),ISNUMBER(M$44)),STEYX(M52:M71,D52:D71),STDEV(M52:M71))</f>
        <v>5.4677066297922083</v>
      </c>
      <c r="N73" s="86">
        <f>IF(OR(ISNUMBER(N$47),ISNUMBER(N$44)),STEYX(N52:N71,E52:E71),STDEV(N52:N71))</f>
        <v>5.4677066297922083</v>
      </c>
      <c r="O73" s="86">
        <f>D82</f>
        <v>5.4200606034823791</v>
      </c>
      <c r="P73" s="87">
        <f>D82</f>
        <v>5.4200606034823791</v>
      </c>
      <c r="Q73" s="37"/>
      <c r="R73" s="99"/>
      <c r="S73" s="108"/>
      <c r="T73" s="109" t="s">
        <v>2</v>
      </c>
      <c r="U73" s="85">
        <f t="shared" ref="U73:AA73" si="42">STDEV(U52:U71)</f>
        <v>2.5160746369985505</v>
      </c>
      <c r="V73" s="85">
        <f t="shared" si="42"/>
        <v>1.2913877022682947</v>
      </c>
      <c r="W73" s="55">
        <f t="shared" si="42"/>
        <v>1.7738343429521535</v>
      </c>
      <c r="X73" s="55">
        <f t="shared" ref="X73:Z73" si="43">STDEV(X52:X71)</f>
        <v>1.560098028098414</v>
      </c>
      <c r="Y73" s="55">
        <f t="shared" si="43"/>
        <v>1.5786476858338101</v>
      </c>
      <c r="Z73" s="55">
        <f t="shared" si="43"/>
        <v>2.0384042786111509</v>
      </c>
      <c r="AA73" s="55">
        <f t="shared" si="42"/>
        <v>1.5977576289494499</v>
      </c>
      <c r="AB73" s="55"/>
      <c r="AC73" s="112" t="s">
        <v>157</v>
      </c>
      <c r="AD73" s="113">
        <f>IF(OR(ISNUMBER(AD$47),ISNUMBER(AD$44)),STEYX(AD52:AD71,U52:U71),STDEV(AD52:AD71))</f>
        <v>1.3562103605532199</v>
      </c>
      <c r="AE73" s="113">
        <f>IF(OR(ISNUMBER(AE$47),ISNUMBER(AE$44)),STEYX(AE52:AE71,V52:V71),STDEV(AE52:AE71))</f>
        <v>1.3562103605532199</v>
      </c>
      <c r="AF73" s="113">
        <f>U82</f>
        <v>1.3435162529533156</v>
      </c>
      <c r="AG73" s="113">
        <f>U82</f>
        <v>1.3435162529533156</v>
      </c>
      <c r="AH73" s="37"/>
      <c r="AI73" s="107"/>
      <c r="AJ73" s="34"/>
      <c r="AK73" s="34"/>
      <c r="AL73" s="19"/>
    </row>
    <row r="74" spans="1:38" x14ac:dyDescent="0.2">
      <c r="A74" s="99"/>
      <c r="B74" s="108"/>
      <c r="C74" s="165" t="s">
        <v>38</v>
      </c>
      <c r="D74" s="166">
        <f t="shared" ref="D74:J74" si="44">D73/SQRT(D76)</f>
        <v>0.56261139247918657</v>
      </c>
      <c r="E74" s="166">
        <f t="shared" si="44"/>
        <v>1.1615784406075242</v>
      </c>
      <c r="F74" s="166">
        <f t="shared" si="44"/>
        <v>1.6002203795596073</v>
      </c>
      <c r="G74" s="166">
        <f t="shared" si="44"/>
        <v>1.4063034785152921</v>
      </c>
      <c r="H74" s="166">
        <f t="shared" si="44"/>
        <v>1.4245774996930072</v>
      </c>
      <c r="I74" s="166">
        <f t="shared" si="44"/>
        <v>1.8271126920564273</v>
      </c>
      <c r="J74" s="166">
        <f t="shared" si="44"/>
        <v>1.4350660171867393</v>
      </c>
      <c r="K74" s="17"/>
      <c r="L74" s="256" t="s">
        <v>159</v>
      </c>
      <c r="M74" s="257">
        <f>IF(ISNUMBER(M$47),IF(M$47=-1,D72,ABS(M$47))*STEYX(M52:M71,D52:D71)/(SQRT(COUNT(M52:M71)-1))/D73,IF(ISNUMBER(M$44),M73*SQRT(1/COUNT(M52:M71)+1/(COUNT(M52:M71)-1)*(M$44-D72)^2/D73^2),M73/SQRT(COUNT(M52:M71))))</f>
        <v>1.2226163705241655</v>
      </c>
      <c r="N74" s="257">
        <f>IF(ISNUMBER(N$47),IF(N$47=-1,E72,ABS(N$47))*STEYX(N52:N71,E52:E71)/(SQRT(COUNT(N52:N71)-1))/E73,IF(ISNUMBER(N$44),N73*SQRT(1/COUNT(N52:N71)+1/(COUNT(N52:N71)-1)*(N$44-E72)^2/E73^2),N73/SQRT(COUNT(N52:N71))))</f>
        <v>1.2226163705241655</v>
      </c>
      <c r="O74" s="257">
        <f>IF(ISNUMBER(O$47),IF(O$47=-1,D72,ABS(O$47))*D81,F82)</f>
        <v>1.2422901428064084</v>
      </c>
      <c r="P74" s="257">
        <f>IF(ISNUMBER(P$47),IF(P$47=-1,E72,ABS(P$47))*C81,F82)</f>
        <v>1.2422901428064084</v>
      </c>
      <c r="Q74" s="19"/>
      <c r="R74" s="99"/>
      <c r="S74" s="108"/>
      <c r="T74" s="165" t="s">
        <v>38</v>
      </c>
      <c r="U74" s="166">
        <f t="shared" ref="U74:AA74" si="45">U73/SQRT(COUNT(U52:U71))</f>
        <v>0.56261139247918657</v>
      </c>
      <c r="V74" s="166">
        <f t="shared" si="45"/>
        <v>0.28876306875791663</v>
      </c>
      <c r="W74" s="166">
        <f t="shared" si="45"/>
        <v>0.396641417166469</v>
      </c>
      <c r="X74" s="166">
        <f t="shared" si="45"/>
        <v>0.34884852423914303</v>
      </c>
      <c r="Y74" s="166">
        <f t="shared" si="45"/>
        <v>0.35299635380471311</v>
      </c>
      <c r="Z74" s="166">
        <f t="shared" si="45"/>
        <v>0.4558010532600954</v>
      </c>
      <c r="AA74" s="166">
        <f t="shared" si="45"/>
        <v>0.35726946698998557</v>
      </c>
      <c r="AB74" s="55"/>
      <c r="AC74" s="255" t="s">
        <v>158</v>
      </c>
      <c r="AD74" s="257">
        <f>IF(ISNUMBER(AD$47),IF(AD$47=-1,U72,ABS(AD$47))*STEYX(AD52:AD71,U52:U71)/(SQRT(COUNT(AD52:AD71)-1))/U73,IF(ISNUMBER(AD$44),AD73*SQRT(1/COUNT(AD52:AD71)+1/(COUNT(AD52:AD71)-1)*(AD$44-U72)^2/U73^2),AD73/SQRT(COUNT(AD52:AD71))))</f>
        <v>0.30325785579864989</v>
      </c>
      <c r="AE74" s="257">
        <f>IF(ISNUMBER(AE$47),IF(AE$47=-1,V72,ABS(AE$47))*STEYX(AE52:AE71,V52:V71)/(SQRT(COUNT(AE52:AE71)-1))/V73,IF(ISNUMBER(AE$44),AE73*SQRT(1/COUNT(AE52:AE71)+1/(COUNT(AE52:AE71)-1)*(AE$44-V72)^2/V73^2),AE73/SQRT(COUNT(AE52:AE71))))</f>
        <v>0.30325785579864989</v>
      </c>
      <c r="AF74" s="257">
        <f>IF(ISNUMBER(AF$47),IF(AF$47=-1,U72,ABS(AF$47))*U81,W82)</f>
        <v>0.30793380767836587</v>
      </c>
      <c r="AG74" s="257">
        <f>IF(ISNUMBER(AG$47),IF(AG$47=-1,V72,ABS(AG$47))*T81,W82)</f>
        <v>0.30793380767836587</v>
      </c>
      <c r="AH74" s="37"/>
      <c r="AI74" s="107"/>
      <c r="AJ74" s="34"/>
      <c r="AK74" s="34"/>
      <c r="AL74" s="19"/>
    </row>
    <row r="75" spans="1:38" x14ac:dyDescent="0.2">
      <c r="A75" s="99"/>
      <c r="B75" s="108"/>
      <c r="C75" s="165" t="s">
        <v>40</v>
      </c>
      <c r="D75" s="167">
        <f t="shared" ref="D75:J75" si="46">D76-1</f>
        <v>19</v>
      </c>
      <c r="E75" s="167">
        <f t="shared" si="46"/>
        <v>19</v>
      </c>
      <c r="F75" s="167">
        <f t="shared" si="46"/>
        <v>19</v>
      </c>
      <c r="G75" s="167">
        <f t="shared" si="46"/>
        <v>19</v>
      </c>
      <c r="H75" s="167">
        <f t="shared" si="46"/>
        <v>19</v>
      </c>
      <c r="I75" s="167">
        <f t="shared" si="46"/>
        <v>19</v>
      </c>
      <c r="J75" s="167">
        <f t="shared" si="46"/>
        <v>19</v>
      </c>
      <c r="K75" s="17"/>
      <c r="L75" s="256" t="s">
        <v>62</v>
      </c>
      <c r="M75" s="258">
        <f>IF(OR(ISNUMBER(M$47),ISNUMBER(M$44)),COUNT(M52:M71)-2,COUNT(M52:M71)-1)</f>
        <v>19</v>
      </c>
      <c r="N75" s="258">
        <f>IF(OR(ISNUMBER(N$47),ISNUMBER(N$44)),COUNT(N52:N71)-2,COUNT(N52:N71)-1)</f>
        <v>19</v>
      </c>
      <c r="O75" s="258">
        <f>COUNT(O52:O71)-3</f>
        <v>17</v>
      </c>
      <c r="P75" s="258">
        <f>COUNT(P52:P71)-3</f>
        <v>17</v>
      </c>
      <c r="Q75" s="19"/>
      <c r="R75" s="99"/>
      <c r="S75" s="108"/>
      <c r="T75" s="165" t="s">
        <v>40</v>
      </c>
      <c r="U75" s="167">
        <f t="shared" ref="U75:AA75" si="47">COUNT(U52:U71)-1</f>
        <v>19</v>
      </c>
      <c r="V75" s="167">
        <f t="shared" si="47"/>
        <v>19</v>
      </c>
      <c r="W75" s="167">
        <f t="shared" si="47"/>
        <v>19</v>
      </c>
      <c r="X75" s="167">
        <f t="shared" si="47"/>
        <v>19</v>
      </c>
      <c r="Y75" s="167">
        <f t="shared" si="47"/>
        <v>19</v>
      </c>
      <c r="Z75" s="167">
        <f t="shared" si="47"/>
        <v>19</v>
      </c>
      <c r="AA75" s="167">
        <f t="shared" si="47"/>
        <v>19</v>
      </c>
      <c r="AB75" s="55"/>
      <c r="AC75" s="256" t="s">
        <v>62</v>
      </c>
      <c r="AD75" s="258">
        <f>IF(OR(ISNUMBER(AD$47),ISNUMBER(AD$44)),COUNT(AD52:AD71)-2,COUNT(AD52:AD71)-1)</f>
        <v>19</v>
      </c>
      <c r="AE75" s="258">
        <f>IF(OR(ISNUMBER(AE$47),ISNUMBER(AE$44)),COUNT(AE52:AE71)-2,COUNT(AE52:AE71)-1)</f>
        <v>19</v>
      </c>
      <c r="AF75" s="258">
        <f>COUNT(AF52:AF71)-3</f>
        <v>17</v>
      </c>
      <c r="AG75" s="258">
        <f>COUNT(AG52:AG71)-3</f>
        <v>17</v>
      </c>
      <c r="AH75" s="37"/>
      <c r="AI75" s="107"/>
      <c r="AJ75" s="34"/>
      <c r="AK75" s="34"/>
      <c r="AL75" s="19"/>
    </row>
    <row r="76" spans="1:38" x14ac:dyDescent="0.2">
      <c r="A76" s="99"/>
      <c r="B76" s="108"/>
      <c r="C76" s="109" t="s">
        <v>28</v>
      </c>
      <c r="D76" s="88">
        <f t="shared" ref="D76:J76" si="48">COUNT(D52:D71)</f>
        <v>20</v>
      </c>
      <c r="E76" s="88">
        <f t="shared" si="48"/>
        <v>20</v>
      </c>
      <c r="F76" s="88">
        <f t="shared" si="48"/>
        <v>20</v>
      </c>
      <c r="G76" s="88">
        <f t="shared" ref="G76:I76" si="49">COUNT(G52:G71)</f>
        <v>20</v>
      </c>
      <c r="H76" s="88">
        <f t="shared" si="49"/>
        <v>20</v>
      </c>
      <c r="I76" s="88">
        <f t="shared" si="49"/>
        <v>20</v>
      </c>
      <c r="J76" s="88">
        <f t="shared" si="48"/>
        <v>20</v>
      </c>
      <c r="K76" s="104"/>
      <c r="L76" s="103" t="s">
        <v>153</v>
      </c>
      <c r="M76" s="83">
        <f t="shared" ref="M76:P77" si="50">M72/$F$133</f>
        <v>0.3399426953190629</v>
      </c>
      <c r="N76" s="83">
        <f t="shared" si="50"/>
        <v>0.3399426953190629</v>
      </c>
      <c r="O76" s="83">
        <f t="shared" si="50"/>
        <v>0.38513153664864186</v>
      </c>
      <c r="P76" s="84">
        <f t="shared" si="50"/>
        <v>0.38513153664864186</v>
      </c>
      <c r="Q76" s="19"/>
      <c r="R76" s="99"/>
      <c r="S76" s="108"/>
      <c r="T76" s="109" t="s">
        <v>28</v>
      </c>
      <c r="U76" s="88">
        <f t="shared" ref="U76:AA76" si="51">COUNT(U52:U71)</f>
        <v>20</v>
      </c>
      <c r="V76" s="88">
        <f t="shared" si="51"/>
        <v>20</v>
      </c>
      <c r="W76" s="88">
        <f t="shared" si="51"/>
        <v>20</v>
      </c>
      <c r="X76" s="88">
        <f t="shared" ref="X76:Z76" si="52">COUNT(X52:X71)</f>
        <v>20</v>
      </c>
      <c r="Y76" s="88">
        <f t="shared" si="52"/>
        <v>20</v>
      </c>
      <c r="Z76" s="88">
        <f t="shared" si="52"/>
        <v>20</v>
      </c>
      <c r="AA76" s="88">
        <f t="shared" si="51"/>
        <v>20</v>
      </c>
      <c r="AB76" s="114"/>
      <c r="AC76" s="115" t="s">
        <v>155</v>
      </c>
      <c r="AD76" s="89">
        <f t="shared" ref="AD76:AG77" si="53">100*EXP(AD72/100)-100</f>
        <v>0.55353113279909394</v>
      </c>
      <c r="AE76" s="89">
        <f t="shared" si="53"/>
        <v>0.55353113279909394</v>
      </c>
      <c r="AF76" s="89">
        <f t="shared" si="53"/>
        <v>0.62802582494487069</v>
      </c>
      <c r="AG76" s="90">
        <f t="shared" si="53"/>
        <v>0.62802582494487069</v>
      </c>
      <c r="AH76" s="37"/>
      <c r="AI76" s="107"/>
      <c r="AJ76" s="34"/>
      <c r="AK76" s="34"/>
      <c r="AL76" s="19"/>
    </row>
    <row r="77" spans="1:38" x14ac:dyDescent="0.2">
      <c r="A77" s="99"/>
      <c r="B77" s="108"/>
      <c r="C77" s="109"/>
      <c r="D77" s="109"/>
      <c r="E77" s="109"/>
      <c r="F77" s="17"/>
      <c r="G77" s="17"/>
      <c r="H77" s="17"/>
      <c r="I77" s="17"/>
      <c r="J77" s="17"/>
      <c r="K77" s="110"/>
      <c r="L77" s="111" t="s">
        <v>154</v>
      </c>
      <c r="M77" s="86">
        <f t="shared" si="50"/>
        <v>0.83914534038170208</v>
      </c>
      <c r="N77" s="86">
        <f t="shared" si="50"/>
        <v>0.83914534038170208</v>
      </c>
      <c r="O77" s="86">
        <f t="shared" si="50"/>
        <v>0.83183296177899035</v>
      </c>
      <c r="P77" s="87">
        <f t="shared" si="50"/>
        <v>0.83183296177899035</v>
      </c>
      <c r="Q77" s="19"/>
      <c r="R77" s="99"/>
      <c r="S77" s="108"/>
      <c r="T77" s="392" t="s">
        <v>5</v>
      </c>
      <c r="U77" s="91" t="str">
        <f>IF(U72=D72,"",EXP(U72/100))</f>
        <v/>
      </c>
      <c r="V77" s="91">
        <f>IF(V72=E72,"",EXP(V72/100))</f>
        <v>401.33073863563135</v>
      </c>
      <c r="W77" s="91">
        <f t="shared" ref="W77:AA77" si="54">EXP(W72/100)</f>
        <v>400.47985216876685</v>
      </c>
      <c r="X77" s="91">
        <f t="shared" si="54"/>
        <v>402.18343295319113</v>
      </c>
      <c r="Y77" s="91">
        <f t="shared" si="54"/>
        <v>403.55222921947194</v>
      </c>
      <c r="Z77" s="91">
        <f t="shared" si="54"/>
        <v>399.61597408271734</v>
      </c>
      <c r="AA77" s="91">
        <f t="shared" si="54"/>
        <v>399.57637953717125</v>
      </c>
      <c r="AB77" s="116"/>
      <c r="AC77" s="111" t="s">
        <v>56</v>
      </c>
      <c r="AD77" s="92">
        <f t="shared" si="53"/>
        <v>1.3654486093836056</v>
      </c>
      <c r="AE77" s="92">
        <f t="shared" si="53"/>
        <v>1.3654486093836056</v>
      </c>
      <c r="AF77" s="92">
        <f t="shared" si="53"/>
        <v>1.3525819869367552</v>
      </c>
      <c r="AG77" s="93">
        <f t="shared" si="53"/>
        <v>1.3525819869367552</v>
      </c>
      <c r="AH77" s="37"/>
      <c r="AI77" s="107"/>
      <c r="AJ77" s="34"/>
      <c r="AK77" s="34"/>
      <c r="AL77" s="19"/>
    </row>
    <row r="78" spans="1:38" ht="15" customHeight="1" x14ac:dyDescent="0.2">
      <c r="A78" s="99"/>
      <c r="B78" s="108"/>
      <c r="C78" s="19"/>
      <c r="D78" s="19"/>
      <c r="E78" s="19"/>
      <c r="F78" s="19"/>
      <c r="G78" s="17"/>
      <c r="H78" s="17"/>
      <c r="I78" s="17"/>
      <c r="J78" s="17"/>
      <c r="K78" s="17"/>
      <c r="L78" s="17"/>
      <c r="M78" s="17"/>
      <c r="N78" s="17"/>
      <c r="O78" s="17"/>
      <c r="P78" s="17"/>
      <c r="Q78" s="19"/>
      <c r="R78" s="99"/>
      <c r="S78" s="108"/>
      <c r="T78" s="109" t="s">
        <v>6</v>
      </c>
      <c r="U78" s="91" t="str">
        <f>IF(U72=D72,"",100*EXP(U73/100)-100)</f>
        <v/>
      </c>
      <c r="V78" s="91">
        <f>IF(V72=E72,"",100*EXP(V73/100)-100)</f>
        <v>1.299762123175924</v>
      </c>
      <c r="W78" s="91">
        <f t="shared" ref="W78:AA78" si="55">100*EXP(W73/100)-100</f>
        <v>1.7896602208000729</v>
      </c>
      <c r="X78" s="91">
        <f t="shared" si="55"/>
        <v>1.5723310905148509</v>
      </c>
      <c r="Y78" s="91">
        <f t="shared" si="55"/>
        <v>1.5911741578942298</v>
      </c>
      <c r="Z78" s="91">
        <f t="shared" si="55"/>
        <v>2.0593216235573522</v>
      </c>
      <c r="AA78" s="91">
        <f t="shared" si="55"/>
        <v>1.6105900286081294</v>
      </c>
      <c r="AB78" s="104"/>
      <c r="AC78" s="103" t="s">
        <v>156</v>
      </c>
      <c r="AD78" s="259">
        <f t="shared" ref="AD78:AG79" si="56">EXP(AD72/100)</f>
        <v>1.005535311327991</v>
      </c>
      <c r="AE78" s="259">
        <f t="shared" si="56"/>
        <v>1.005535311327991</v>
      </c>
      <c r="AF78" s="259">
        <f t="shared" si="56"/>
        <v>1.0062802582494488</v>
      </c>
      <c r="AG78" s="260">
        <f t="shared" si="56"/>
        <v>1.0062802582494488</v>
      </c>
      <c r="AH78" s="37"/>
      <c r="AI78" s="107"/>
      <c r="AJ78" s="34"/>
      <c r="AK78" s="34"/>
      <c r="AL78" s="19"/>
    </row>
    <row r="79" spans="1:38" x14ac:dyDescent="0.2">
      <c r="A79" s="99"/>
      <c r="B79" s="118"/>
      <c r="C79" s="19"/>
      <c r="D79" s="19"/>
      <c r="E79" s="19"/>
      <c r="F79" s="19"/>
      <c r="G79" s="17"/>
      <c r="H79" s="17"/>
      <c r="I79" s="17"/>
      <c r="J79" s="17"/>
      <c r="K79" s="17"/>
      <c r="L79" s="17"/>
      <c r="M79" s="17"/>
      <c r="N79" s="17"/>
      <c r="O79" s="17"/>
      <c r="P79" s="17"/>
      <c r="Q79" s="19"/>
      <c r="R79" s="99"/>
      <c r="S79" s="108"/>
      <c r="T79" s="109" t="s">
        <v>7</v>
      </c>
      <c r="U79" s="85" t="str">
        <f>IF(U72=D72,"",EXP(U73/100))</f>
        <v/>
      </c>
      <c r="V79" s="85">
        <f>IF(V72=E72,"",EXP(V73/100))</f>
        <v>1.0129976212317593</v>
      </c>
      <c r="W79" s="85">
        <f t="shared" ref="W79:AA79" si="57">EXP(W73/100)</f>
        <v>1.0178966022080007</v>
      </c>
      <c r="X79" s="85">
        <f t="shared" si="57"/>
        <v>1.0157233109051484</v>
      </c>
      <c r="Y79" s="85">
        <f t="shared" si="57"/>
        <v>1.0159117415789423</v>
      </c>
      <c r="Z79" s="85">
        <f t="shared" si="57"/>
        <v>1.0205932162355735</v>
      </c>
      <c r="AA79" s="85">
        <f t="shared" si="57"/>
        <v>1.0161059002860813</v>
      </c>
      <c r="AB79" s="110"/>
      <c r="AC79" s="111" t="s">
        <v>57</v>
      </c>
      <c r="AD79" s="86">
        <f t="shared" si="56"/>
        <v>1.0136544860938361</v>
      </c>
      <c r="AE79" s="86">
        <f t="shared" si="56"/>
        <v>1.0136544860938361</v>
      </c>
      <c r="AF79" s="86">
        <f t="shared" si="56"/>
        <v>1.0135258198693675</v>
      </c>
      <c r="AG79" s="87">
        <f t="shared" si="56"/>
        <v>1.0135258198693675</v>
      </c>
      <c r="AH79" s="37"/>
      <c r="AI79" s="107"/>
      <c r="AJ79" s="34"/>
      <c r="AK79" s="34"/>
      <c r="AL79" s="19"/>
    </row>
    <row r="80" spans="1:38" x14ac:dyDescent="0.2">
      <c r="A80" s="99"/>
      <c r="B80" s="261" t="s">
        <v>109</v>
      </c>
      <c r="C80" s="262">
        <f t="array" ref="C80:E82">LINEST(M52:M71,D52:E71,1,1)</f>
        <v>-0.29717997273588498</v>
      </c>
      <c r="D80" s="262">
        <v>0.4266659212019695</v>
      </c>
      <c r="E80" s="263">
        <v>117.33005730644997</v>
      </c>
      <c r="F80" s="264"/>
      <c r="G80" s="17"/>
      <c r="H80" s="17"/>
      <c r="I80" s="17"/>
      <c r="J80" s="17"/>
      <c r="K80" s="17"/>
      <c r="L80" s="17"/>
      <c r="M80" s="17"/>
      <c r="N80" s="17"/>
      <c r="O80" s="17"/>
      <c r="P80" s="17"/>
      <c r="Q80" s="19"/>
      <c r="R80" s="99"/>
      <c r="S80" s="261" t="s">
        <v>109</v>
      </c>
      <c r="T80" s="262">
        <f t="array" ref="T80:V82">LINEST(AD52:AD71,U52:V71,1,1)</f>
        <v>-0.29993129759145454</v>
      </c>
      <c r="U80" s="262">
        <v>0.10508534448264853</v>
      </c>
      <c r="V80" s="273">
        <v>179.32771150037226</v>
      </c>
      <c r="W80" s="274"/>
      <c r="X80" s="119"/>
      <c r="Y80" s="119"/>
      <c r="Z80" s="119"/>
      <c r="AA80" s="119"/>
      <c r="AB80" s="104"/>
      <c r="AC80" s="103" t="s">
        <v>153</v>
      </c>
      <c r="AD80" s="83">
        <f t="shared" ref="AD80:AG81" si="58">AD72/$W$133</f>
        <v>0.33993203042407311</v>
      </c>
      <c r="AE80" s="83">
        <f t="shared" si="58"/>
        <v>0.33993203042407311</v>
      </c>
      <c r="AF80" s="83">
        <f t="shared" si="58"/>
        <v>0.38553744740177509</v>
      </c>
      <c r="AG80" s="84">
        <f t="shared" si="58"/>
        <v>0.38553744740177509</v>
      </c>
      <c r="AH80" s="37"/>
      <c r="AI80" s="107"/>
      <c r="AJ80" s="34"/>
      <c r="AK80" s="34"/>
      <c r="AL80" s="19"/>
    </row>
    <row r="81" spans="1:38" x14ac:dyDescent="0.2">
      <c r="A81" s="99"/>
      <c r="B81" s="265" t="s">
        <v>110</v>
      </c>
      <c r="C81" s="266">
        <v>0.23942869130914254</v>
      </c>
      <c r="D81" s="266">
        <v>0.49432914015843221</v>
      </c>
      <c r="E81" s="267">
        <v>96.341645802396258</v>
      </c>
      <c r="F81" s="268" t="s">
        <v>111</v>
      </c>
      <c r="G81" s="17"/>
      <c r="H81" s="17"/>
      <c r="I81" s="17"/>
      <c r="J81" s="17"/>
      <c r="K81" s="19"/>
      <c r="L81" s="19"/>
      <c r="M81" s="17"/>
      <c r="N81" s="17"/>
      <c r="O81" s="17"/>
      <c r="P81" s="17"/>
      <c r="Q81" s="19"/>
      <c r="R81" s="99"/>
      <c r="S81" s="265" t="s">
        <v>110</v>
      </c>
      <c r="T81" s="266">
        <v>0.23873007321175352</v>
      </c>
      <c r="U81" s="266">
        <v>0.1225293861214842</v>
      </c>
      <c r="V81" s="266">
        <v>143.14426938352005</v>
      </c>
      <c r="W81" s="275" t="s">
        <v>111</v>
      </c>
      <c r="X81" s="119"/>
      <c r="Y81" s="119"/>
      <c r="Z81" s="119"/>
      <c r="AA81" s="119"/>
      <c r="AB81" s="110"/>
      <c r="AC81" s="111" t="s">
        <v>154</v>
      </c>
      <c r="AD81" s="86">
        <f t="shared" si="58"/>
        <v>0.83517273567285577</v>
      </c>
      <c r="AE81" s="86">
        <f t="shared" si="58"/>
        <v>0.83517273567285577</v>
      </c>
      <c r="AF81" s="86">
        <f t="shared" si="58"/>
        <v>0.82735553202989509</v>
      </c>
      <c r="AG81" s="87">
        <f t="shared" si="58"/>
        <v>0.82735553202989509</v>
      </c>
      <c r="AH81" s="37"/>
      <c r="AI81" s="107"/>
      <c r="AJ81" s="34"/>
      <c r="AK81" s="34"/>
      <c r="AL81" s="19"/>
    </row>
    <row r="82" spans="1:38" s="1" customFormat="1" x14ac:dyDescent="0.2">
      <c r="A82" s="99"/>
      <c r="B82" s="269"/>
      <c r="C82" s="270">
        <v>0.12078883055775226</v>
      </c>
      <c r="D82" s="270">
        <v>5.4200606034823791</v>
      </c>
      <c r="E82" s="271" t="e">
        <v>#N/A</v>
      </c>
      <c r="F82" s="272">
        <f>SQRT(D82^2/F76+(O44-D72)^2*D81^2 +(P44-E72)^2*C81^2-2*CORREL(D52:D71,E52:E71)*(O44-D72)*D81 *(P44-E72)*C81)</f>
        <v>1.2422901428064084</v>
      </c>
      <c r="G82" s="17"/>
      <c r="H82" s="17"/>
      <c r="I82" s="17"/>
      <c r="J82" s="17"/>
      <c r="K82" s="51"/>
      <c r="L82" s="121"/>
      <c r="M82" s="17"/>
      <c r="N82" s="17"/>
      <c r="O82" s="17"/>
      <c r="P82" s="17"/>
      <c r="Q82" s="19"/>
      <c r="R82" s="99"/>
      <c r="S82" s="269"/>
      <c r="T82" s="270">
        <v>0.12193421610266633</v>
      </c>
      <c r="U82" s="270">
        <v>1.3435162529533156</v>
      </c>
      <c r="V82" s="270" t="e">
        <v>#N/A</v>
      </c>
      <c r="W82" s="276">
        <f>SQRT(U82^2/W76+(AF44-U72)^2*U81^2 +(AG44-V72)^2*T81^2-2*CORREL(U52:U71,V52:V71)*(AF44-U72)*U81 *(AG44-V72)*T81)</f>
        <v>0.30793380767836587</v>
      </c>
      <c r="X82" s="17"/>
      <c r="Y82" s="17"/>
      <c r="Z82" s="17"/>
      <c r="AA82" s="17"/>
      <c r="AB82" s="19"/>
      <c r="AC82" s="19"/>
      <c r="AD82" s="19"/>
      <c r="AE82" s="19"/>
      <c r="AF82" s="19"/>
      <c r="AG82" s="19"/>
      <c r="AH82" s="37"/>
      <c r="AI82" s="107"/>
      <c r="AJ82" s="34"/>
      <c r="AK82" s="34"/>
      <c r="AL82" s="19"/>
    </row>
    <row r="83" spans="1:38" s="1" customFormat="1" ht="16.5" x14ac:dyDescent="0.2">
      <c r="A83" s="17"/>
      <c r="B83" s="528" t="s">
        <v>248</v>
      </c>
      <c r="C83" s="17"/>
      <c r="D83" s="17"/>
      <c r="E83" s="17"/>
      <c r="F83" s="17"/>
      <c r="G83" s="17"/>
      <c r="H83" s="17"/>
      <c r="I83" s="17"/>
      <c r="J83" s="17"/>
      <c r="K83" s="51"/>
      <c r="L83" s="20"/>
      <c r="M83" s="565" t="s">
        <v>100</v>
      </c>
      <c r="N83" s="565"/>
      <c r="O83" s="565" t="s">
        <v>101</v>
      </c>
      <c r="P83" s="565"/>
      <c r="Q83" s="17"/>
      <c r="R83" s="17"/>
      <c r="S83" s="17"/>
      <c r="T83" s="17"/>
      <c r="U83" s="17"/>
      <c r="V83" s="17"/>
      <c r="W83" s="17"/>
      <c r="X83" s="17"/>
      <c r="Y83" s="17"/>
      <c r="Z83" s="17"/>
      <c r="AA83" s="17"/>
      <c r="AB83" s="19"/>
      <c r="AC83" s="121"/>
      <c r="AD83" s="565" t="s">
        <v>100</v>
      </c>
      <c r="AE83" s="565"/>
      <c r="AF83" s="565" t="s">
        <v>101</v>
      </c>
      <c r="AG83" s="565"/>
      <c r="AH83" s="37"/>
      <c r="AI83" s="107"/>
      <c r="AJ83" s="34"/>
      <c r="AK83" s="34"/>
      <c r="AL83" s="19"/>
    </row>
    <row r="84" spans="1:38" ht="40.35" customHeight="1" x14ac:dyDescent="0.25">
      <c r="A84" s="402"/>
      <c r="B84" s="79" t="str">
        <f t="shared" ref="B84:C85" si="59">B51</f>
        <v>Treatment</v>
      </c>
      <c r="C84" s="79" t="str">
        <f t="shared" si="59"/>
        <v>Name</v>
      </c>
      <c r="D84" s="82" t="str">
        <f t="shared" ref="D84:J84" si="60">D51</f>
        <v>X1</v>
      </c>
      <c r="E84" s="82" t="str">
        <f t="shared" si="60"/>
        <v>X2</v>
      </c>
      <c r="F84" s="82" t="str">
        <f t="shared" si="60"/>
        <v>Pre1</v>
      </c>
      <c r="G84" s="82" t="str">
        <f t="shared" ref="G84:I84" si="61">G51</f>
        <v>Pre2</v>
      </c>
      <c r="H84" s="82" t="str">
        <f t="shared" si="61"/>
        <v>Post1</v>
      </c>
      <c r="I84" s="82" t="str">
        <f t="shared" si="61"/>
        <v>Post2</v>
      </c>
      <c r="J84" s="82" t="str">
        <f t="shared" si="60"/>
        <v>Post3</v>
      </c>
      <c r="K84" s="81"/>
      <c r="L84" s="81"/>
      <c r="M84" s="81" t="str">
        <f>M50</f>
        <v>Custom effect, not adjusted</v>
      </c>
      <c r="N84" s="81" t="str">
        <f>N50</f>
        <v>Custom effect, not adjusted</v>
      </c>
      <c r="O84" s="81" t="str">
        <f>O50</f>
        <v>Custom effect, adjusted</v>
      </c>
      <c r="P84" s="81" t="str">
        <f>P50</f>
        <v>Custom effect, adjusted</v>
      </c>
      <c r="Q84" s="19"/>
      <c r="R84" s="100"/>
      <c r="S84" s="79" t="str">
        <f t="shared" ref="S84:T84" si="62">S51</f>
        <v>Treatment</v>
      </c>
      <c r="T84" s="79" t="str">
        <f t="shared" si="62"/>
        <v>Name</v>
      </c>
      <c r="U84" s="82" t="str">
        <f t="shared" ref="U84:AA84" si="63">U51</f>
        <v>X1</v>
      </c>
      <c r="V84" s="82" t="str">
        <f t="shared" si="63"/>
        <v>X2</v>
      </c>
      <c r="W84" s="82" t="str">
        <f t="shared" si="63"/>
        <v>Pre1</v>
      </c>
      <c r="X84" s="82" t="str">
        <f t="shared" ref="X84:Z84" si="64">X51</f>
        <v>Pre2</v>
      </c>
      <c r="Y84" s="82" t="str">
        <f t="shared" si="64"/>
        <v>Post1</v>
      </c>
      <c r="Z84" s="82" t="str">
        <f t="shared" si="64"/>
        <v>Post2</v>
      </c>
      <c r="AA84" s="82" t="str">
        <f t="shared" si="63"/>
        <v>Post3</v>
      </c>
      <c r="AB84" s="81"/>
      <c r="AC84" s="81"/>
      <c r="AD84" s="81" t="str">
        <f>AD50</f>
        <v>Custom effect, not adjusted</v>
      </c>
      <c r="AE84" s="81" t="str">
        <f>AE50</f>
        <v>Custom effect, not adjusted</v>
      </c>
      <c r="AF84" s="81" t="str">
        <f>AF50</f>
        <v>Custom effect, adjusted</v>
      </c>
      <c r="AG84" s="81" t="str">
        <f>AG50</f>
        <v>Custom effect, adjusted</v>
      </c>
      <c r="AH84" s="19"/>
      <c r="AI84" s="19"/>
      <c r="AJ84" s="19"/>
      <c r="AK84" s="19"/>
      <c r="AL84" s="19"/>
    </row>
    <row r="85" spans="1:38" x14ac:dyDescent="0.2">
      <c r="A85" s="402"/>
      <c r="B85" s="95" t="s">
        <v>16</v>
      </c>
      <c r="C85" s="348" t="str">
        <f t="shared" si="59"/>
        <v>Alex</v>
      </c>
      <c r="D85" s="11">
        <v>7.4</v>
      </c>
      <c r="E85" s="54">
        <f>IF(SUMIFS(F$48:J$48,F85:J85,""),"",SUMPRODUCT(F$48:J$48,F85:J85)/SUM(F$48:J$48))</f>
        <v>394.9</v>
      </c>
      <c r="F85" s="11">
        <v>395.7</v>
      </c>
      <c r="G85" s="11">
        <v>394.1</v>
      </c>
      <c r="H85" s="11">
        <v>403</v>
      </c>
      <c r="I85" s="11">
        <v>419.1</v>
      </c>
      <c r="J85" s="11">
        <v>404.3</v>
      </c>
      <c r="K85" s="309" t="str">
        <f t="shared" ref="K85:K104" si="65">IF(SUMIFS(F$50:J$50,F85:J85,"",F$50:J$50,"&gt;0")-SUMIFS(F$50:J$50,F85:J85,"",F$50:J$50,"&lt;0"),"Missing data: clear the custom effect.","")</f>
        <v/>
      </c>
      <c r="L85" s="310"/>
      <c r="M85" s="55">
        <f t="shared" ref="M85:M104" si="66">SUMPRODUCT(F$50:J$50,F85:J85)</f>
        <v>8.1000000000000227</v>
      </c>
      <c r="N85" s="55">
        <f>IF(ISBLANK(M85),"",M85)</f>
        <v>8.1000000000000227</v>
      </c>
      <c r="O85" s="55">
        <f t="shared" ref="O85:O103" si="67">M85-(E85-P$44)*C$113</f>
        <v>10.153775798890731</v>
      </c>
      <c r="P85" s="55">
        <f t="shared" ref="P85:P103" si="68">M85-(D85-O$44)*D$113</f>
        <v>3.5369916962436738</v>
      </c>
      <c r="Q85" s="309" t="str">
        <f t="shared" ref="Q85:Q104" si="69">IF(AND(ISNUMBER(D85),ISNUMBER(E85),ISNUMBER(M85),ISNUMBER(N85)),"","To adjust for both predictors, delete this entire row.")</f>
        <v/>
      </c>
      <c r="R85" s="100"/>
      <c r="S85" s="31" t="str">
        <f t="shared" ref="S85:S104" si="70">B85</f>
        <v>Exptal</v>
      </c>
      <c r="T85" s="31" t="str">
        <f t="shared" ref="T85:T104" si="71">C85</f>
        <v>Alex</v>
      </c>
      <c r="U85" s="54">
        <f t="shared" ref="U85:U104" si="72">IF(ISNUMBER(D85),D85,"miss")</f>
        <v>7.4</v>
      </c>
      <c r="V85" s="54">
        <f>IF(_xlfn.ISFORMULA(E85),IF(SUMIFS(W$48:AA$48,W85:AA85,""),"",SUMPRODUCT(W$48:AA$48,W85:AA85)/SUM(W$48:AA$48)),E85)</f>
        <v>597.86305162961685</v>
      </c>
      <c r="W85" s="55">
        <f t="shared" ref="W85:W104" si="73">100*LN(F85)</f>
        <v>598.06563483913783</v>
      </c>
      <c r="X85" s="55">
        <f t="shared" ref="X85:X104" si="74">100*LN(G85)</f>
        <v>597.66046842009587</v>
      </c>
      <c r="Y85" s="55">
        <f t="shared" ref="Y85:Y104" si="75">100*LN(H85)</f>
        <v>599.89365619466821</v>
      </c>
      <c r="Z85" s="55">
        <f t="shared" ref="Z85:Z104" si="76">100*LN(I85)</f>
        <v>603.8109554931026</v>
      </c>
      <c r="AA85" s="55">
        <f t="shared" ref="AA85:AA104" si="77">100*LN(J85)</f>
        <v>600.21571766467252</v>
      </c>
      <c r="AB85" s="314" t="str">
        <f t="shared" ref="AB85:AB103" si="78">IF(SUMIFS(W$109:AA$109,W85:AA85,"#num!"),"Clear the #NUM! dependent value.",IF(SUMIFS(W$50:AA$50,W85:AA85,"",W$50:AA$50,"&gt;0")-SUMIFS(W$50:AA$50,W85:AA85,"",W$50:AA$50,"&lt;0"),"Now clear the custom effect.",""))</f>
        <v/>
      </c>
      <c r="AC85" s="315"/>
      <c r="AD85" s="55">
        <f t="shared" ref="AD85:AD104" si="79">SUMPRODUCT(W$50:AA$50,W85:AA85)</f>
        <v>2.0306045650513624</v>
      </c>
      <c r="AE85" s="55">
        <f>IF(ISBLANK(AD85),"",AD85)</f>
        <v>2.0306045650513624</v>
      </c>
      <c r="AF85" s="55">
        <f t="shared" ref="AF85:AF103" si="80">AD85-(V85-AG$44)*T$113</f>
        <v>2.4813904384093881</v>
      </c>
      <c r="AG85" s="55">
        <f t="shared" ref="AG85:AG103" si="81">AD85-(U85-AF$44)*U$113</f>
        <v>0.92975688035060955</v>
      </c>
      <c r="AH85" s="309" t="str">
        <f t="shared" ref="AH85:AH104" si="82">IF(AND(ISNUMBER(U85),ISNUMBER(V85),ISNUMBER(AD85),ISNUMBER(AE85)),"","To adjust for both predictors, delete this entire row.")</f>
        <v/>
      </c>
      <c r="AI85" s="48"/>
      <c r="AJ85" s="34"/>
      <c r="AK85" s="34"/>
      <c r="AL85" s="19"/>
    </row>
    <row r="86" spans="1:38" x14ac:dyDescent="0.2">
      <c r="A86" s="402"/>
      <c r="B86" s="96" t="str">
        <f>$B$85</f>
        <v>Exptal</v>
      </c>
      <c r="C86" s="348" t="str">
        <f t="shared" ref="C86" si="83">C53</f>
        <v>Ariel</v>
      </c>
      <c r="D86" s="11">
        <v>4.5</v>
      </c>
      <c r="E86" s="54">
        <f t="shared" ref="E86:E104" si="84">IF(SUMIFS(F$48:J$48,F86:J86,""),"",SUMPRODUCT(F$48:J$48,F86:J86)/SUM(F$48:J$48))</f>
        <v>404.85</v>
      </c>
      <c r="F86" s="11">
        <v>404.6</v>
      </c>
      <c r="G86" s="11">
        <v>405.1</v>
      </c>
      <c r="H86" s="11">
        <v>429.1</v>
      </c>
      <c r="I86" s="11">
        <v>404.9</v>
      </c>
      <c r="J86" s="11">
        <v>420.6</v>
      </c>
      <c r="K86" s="309" t="str">
        <f t="shared" si="65"/>
        <v/>
      </c>
      <c r="L86" s="310"/>
      <c r="M86" s="55">
        <f t="shared" si="66"/>
        <v>24.25</v>
      </c>
      <c r="N86" s="55">
        <f t="shared" ref="N86:N104" si="85">IF(ISBLANK(M86),"",M86)</f>
        <v>24.25</v>
      </c>
      <c r="O86" s="55">
        <f t="shared" si="67"/>
        <v>22.494816022756019</v>
      </c>
      <c r="P86" s="55">
        <f t="shared" si="68"/>
        <v>13.883165344974609</v>
      </c>
      <c r="Q86" s="309" t="str">
        <f t="shared" si="69"/>
        <v/>
      </c>
      <c r="R86" s="100"/>
      <c r="S86" s="31" t="str">
        <f t="shared" si="70"/>
        <v>Exptal</v>
      </c>
      <c r="T86" s="31" t="str">
        <f t="shared" si="71"/>
        <v>Ariel</v>
      </c>
      <c r="U86" s="54">
        <f t="shared" si="72"/>
        <v>4.5</v>
      </c>
      <c r="V86" s="54">
        <f t="shared" ref="V86:V104" si="86">IF(_xlfn.ISFORMULA(E86),IF(SUMIFS(W$48:AA$48,W86:AA86,""),"",SUMPRODUCT(W$48:AA$48,W86:AA86)/SUM(W$48:AA$48)),E86)</f>
        <v>600.35164374711439</v>
      </c>
      <c r="W86" s="55">
        <f t="shared" si="73"/>
        <v>600.28989247336449</v>
      </c>
      <c r="X86" s="55">
        <f t="shared" si="74"/>
        <v>600.41339502086441</v>
      </c>
      <c r="Y86" s="55">
        <f t="shared" si="75"/>
        <v>606.16899919974787</v>
      </c>
      <c r="Z86" s="55">
        <f t="shared" si="76"/>
        <v>600.36401230381159</v>
      </c>
      <c r="AA86" s="55">
        <f t="shared" si="77"/>
        <v>604.16822632686001</v>
      </c>
      <c r="AB86" s="314" t="str">
        <f t="shared" si="78"/>
        <v/>
      </c>
      <c r="AC86" s="315"/>
      <c r="AD86" s="55">
        <f t="shared" si="79"/>
        <v>5.8173554526334783</v>
      </c>
      <c r="AE86" s="55">
        <f t="shared" ref="AE86:AE104" si="87">IF(ISBLANK(AD86),"",AD86)</f>
        <v>5.8173554526334783</v>
      </c>
      <c r="AF86" s="55">
        <f t="shared" si="80"/>
        <v>5.4291379145386047</v>
      </c>
      <c r="AG86" s="55">
        <f t="shared" si="81"/>
        <v>3.3163067654624689</v>
      </c>
      <c r="AH86" s="309" t="str">
        <f t="shared" si="82"/>
        <v/>
      </c>
      <c r="AI86" s="48"/>
      <c r="AJ86" s="34"/>
      <c r="AK86" s="34"/>
      <c r="AL86" s="19"/>
    </row>
    <row r="87" spans="1:38" x14ac:dyDescent="0.2">
      <c r="A87" s="402"/>
      <c r="B87" s="96" t="str">
        <f t="shared" ref="B87:B104" si="88">$B$85</f>
        <v>Exptal</v>
      </c>
      <c r="C87" s="348" t="str">
        <f t="shared" ref="C87" si="89">C54</f>
        <v>Ashley</v>
      </c>
      <c r="D87" s="11">
        <v>10.4</v>
      </c>
      <c r="E87" s="54">
        <f t="shared" si="84"/>
        <v>396</v>
      </c>
      <c r="F87" s="11">
        <v>398.2</v>
      </c>
      <c r="G87" s="11">
        <v>393.8</v>
      </c>
      <c r="H87" s="11">
        <v>416</v>
      </c>
      <c r="I87" s="11">
        <v>412.8</v>
      </c>
      <c r="J87" s="11">
        <v>411.2</v>
      </c>
      <c r="K87" s="309" t="str">
        <f t="shared" si="65"/>
        <v/>
      </c>
      <c r="L87" s="310"/>
      <c r="M87" s="55">
        <f t="shared" si="66"/>
        <v>20</v>
      </c>
      <c r="N87" s="55">
        <f t="shared" si="85"/>
        <v>20</v>
      </c>
      <c r="O87" s="55">
        <f t="shared" si="67"/>
        <v>21.632684768363248</v>
      </c>
      <c r="P87" s="55">
        <f t="shared" si="68"/>
        <v>21.440949990659902</v>
      </c>
      <c r="Q87" s="309" t="str">
        <f t="shared" si="69"/>
        <v/>
      </c>
      <c r="R87" s="100"/>
      <c r="S87" s="31" t="str">
        <f t="shared" si="70"/>
        <v>Exptal</v>
      </c>
      <c r="T87" s="31" t="str">
        <f t="shared" si="71"/>
        <v>Ashley</v>
      </c>
      <c r="U87" s="54">
        <f t="shared" si="72"/>
        <v>10.4</v>
      </c>
      <c r="V87" s="54">
        <f t="shared" si="86"/>
        <v>598.13987789175599</v>
      </c>
      <c r="W87" s="55">
        <f t="shared" si="73"/>
        <v>598.69543916300961</v>
      </c>
      <c r="X87" s="55">
        <f t="shared" si="74"/>
        <v>597.58431662050248</v>
      </c>
      <c r="Y87" s="55">
        <f t="shared" si="75"/>
        <v>603.06852602612628</v>
      </c>
      <c r="Z87" s="55">
        <f t="shared" si="76"/>
        <v>602.29632141673528</v>
      </c>
      <c r="AA87" s="55">
        <f t="shared" si="77"/>
        <v>601.90797141409553</v>
      </c>
      <c r="AB87" s="314" t="str">
        <f t="shared" si="78"/>
        <v/>
      </c>
      <c r="AC87" s="315"/>
      <c r="AD87" s="55">
        <f t="shared" si="79"/>
        <v>4.9286481343702917</v>
      </c>
      <c r="AE87" s="55">
        <f t="shared" si="87"/>
        <v>4.9286481343702917</v>
      </c>
      <c r="AF87" s="55">
        <f t="shared" si="80"/>
        <v>5.2861048612275869</v>
      </c>
      <c r="AG87" s="55">
        <f t="shared" si="81"/>
        <v>5.2762842453284247</v>
      </c>
      <c r="AH87" s="309" t="str">
        <f t="shared" si="82"/>
        <v/>
      </c>
      <c r="AI87" s="48"/>
      <c r="AJ87" s="34"/>
      <c r="AK87" s="34"/>
      <c r="AL87" s="19"/>
    </row>
    <row r="88" spans="1:38" x14ac:dyDescent="0.2">
      <c r="A88" s="402"/>
      <c r="B88" s="96" t="str">
        <f t="shared" si="88"/>
        <v>Exptal</v>
      </c>
      <c r="C88" s="348" t="str">
        <f t="shared" ref="C88" si="90">C55</f>
        <v>Bernie</v>
      </c>
      <c r="D88" s="11">
        <v>13.5</v>
      </c>
      <c r="E88" s="54">
        <f t="shared" si="84"/>
        <v>401.9</v>
      </c>
      <c r="F88" s="11">
        <v>406.4</v>
      </c>
      <c r="G88" s="11">
        <v>397.4</v>
      </c>
      <c r="H88" s="11">
        <v>397.3</v>
      </c>
      <c r="I88" s="11">
        <v>401.3</v>
      </c>
      <c r="J88" s="11">
        <v>378.1</v>
      </c>
      <c r="K88" s="309" t="str">
        <f t="shared" si="65"/>
        <v/>
      </c>
      <c r="L88" s="310"/>
      <c r="M88" s="55">
        <f t="shared" si="66"/>
        <v>-4.5999999999999659</v>
      </c>
      <c r="N88" s="55">
        <f t="shared" si="85"/>
        <v>-4.5999999999999659</v>
      </c>
      <c r="O88" s="55">
        <f t="shared" si="67"/>
        <v>-5.2258943953748558</v>
      </c>
      <c r="P88" s="55">
        <f t="shared" si="68"/>
        <v>3.0450402282233933</v>
      </c>
      <c r="Q88" s="309" t="str">
        <f t="shared" si="69"/>
        <v/>
      </c>
      <c r="R88" s="100"/>
      <c r="S88" s="31" t="str">
        <f t="shared" si="70"/>
        <v>Exptal</v>
      </c>
      <c r="T88" s="31" t="str">
        <f t="shared" si="71"/>
        <v>Bernie</v>
      </c>
      <c r="U88" s="54">
        <f t="shared" si="72"/>
        <v>13.5</v>
      </c>
      <c r="V88" s="54">
        <f t="shared" si="86"/>
        <v>599.61406131909939</v>
      </c>
      <c r="W88" s="55">
        <f t="shared" si="73"/>
        <v>600.73378962642721</v>
      </c>
      <c r="X88" s="55">
        <f t="shared" si="74"/>
        <v>598.49433301177169</v>
      </c>
      <c r="Y88" s="55">
        <f t="shared" si="75"/>
        <v>598.46916628205531</v>
      </c>
      <c r="Z88" s="55">
        <f t="shared" si="76"/>
        <v>599.47092772728706</v>
      </c>
      <c r="AA88" s="55">
        <f t="shared" si="77"/>
        <v>593.51587108968874</v>
      </c>
      <c r="AB88" s="314" t="str">
        <f t="shared" si="78"/>
        <v/>
      </c>
      <c r="AC88" s="315"/>
      <c r="AD88" s="55">
        <f t="shared" si="79"/>
        <v>-1.1448950370440798</v>
      </c>
      <c r="AE88" s="55">
        <f t="shared" si="87"/>
        <v>-1.1448950370440798</v>
      </c>
      <c r="AF88" s="55">
        <f t="shared" si="80"/>
        <v>-1.2844441939360984</v>
      </c>
      <c r="AG88" s="55">
        <f t="shared" si="81"/>
        <v>0.69950766276156817</v>
      </c>
      <c r="AH88" s="309" t="str">
        <f t="shared" si="82"/>
        <v/>
      </c>
      <c r="AI88" s="48"/>
      <c r="AJ88" s="34"/>
      <c r="AK88" s="34"/>
      <c r="AL88" s="19"/>
    </row>
    <row r="89" spans="1:38" x14ac:dyDescent="0.2">
      <c r="A89" s="402"/>
      <c r="B89" s="96" t="str">
        <f t="shared" si="88"/>
        <v>Exptal</v>
      </c>
      <c r="C89" s="348" t="str">
        <f t="shared" ref="C89" si="91">C56</f>
        <v>Casey</v>
      </c>
      <c r="D89" s="11">
        <v>11.1</v>
      </c>
      <c r="E89" s="54">
        <f t="shared" si="84"/>
        <v>405.29999999999995</v>
      </c>
      <c r="F89" s="11">
        <v>403.4</v>
      </c>
      <c r="G89" s="11">
        <v>407.2</v>
      </c>
      <c r="H89" s="11">
        <v>413.3</v>
      </c>
      <c r="I89" s="11">
        <v>394.5</v>
      </c>
      <c r="J89" s="11">
        <v>406.5</v>
      </c>
      <c r="K89" s="309" t="str">
        <f t="shared" si="65"/>
        <v/>
      </c>
      <c r="L89" s="310"/>
      <c r="M89" s="55">
        <f t="shared" si="66"/>
        <v>8.0000000000000568</v>
      </c>
      <c r="N89" s="55">
        <f t="shared" si="85"/>
        <v>8.0000000000000568</v>
      </c>
      <c r="O89" s="55">
        <f t="shared" si="67"/>
        <v>6.0725515102675995</v>
      </c>
      <c r="P89" s="55">
        <f t="shared" si="68"/>
        <v>10.841873592690416</v>
      </c>
      <c r="Q89" s="309" t="str">
        <f t="shared" si="69"/>
        <v/>
      </c>
      <c r="R89" s="100"/>
      <c r="S89" s="31" t="str">
        <f t="shared" si="70"/>
        <v>Exptal</v>
      </c>
      <c r="T89" s="31" t="str">
        <f t="shared" si="71"/>
        <v>Casey</v>
      </c>
      <c r="U89" s="54">
        <f t="shared" si="72"/>
        <v>11.1</v>
      </c>
      <c r="V89" s="54">
        <f t="shared" si="86"/>
        <v>600.46165453782123</v>
      </c>
      <c r="W89" s="55">
        <f t="shared" si="73"/>
        <v>599.99286255201105</v>
      </c>
      <c r="X89" s="55">
        <f t="shared" si="74"/>
        <v>600.9304465236313</v>
      </c>
      <c r="Y89" s="55">
        <f t="shared" si="75"/>
        <v>602.41737215176863</v>
      </c>
      <c r="Z89" s="55">
        <f t="shared" si="76"/>
        <v>597.76191402859297</v>
      </c>
      <c r="AA89" s="55">
        <f t="shared" si="77"/>
        <v>600.75839289878661</v>
      </c>
      <c r="AB89" s="314" t="str">
        <f t="shared" si="78"/>
        <v/>
      </c>
      <c r="AC89" s="315"/>
      <c r="AD89" s="55">
        <f t="shared" si="79"/>
        <v>1.9557176139473995</v>
      </c>
      <c r="AE89" s="55">
        <f t="shared" si="87"/>
        <v>1.9557176139473995</v>
      </c>
      <c r="AF89" s="55">
        <f t="shared" si="80"/>
        <v>1.5304110615256297</v>
      </c>
      <c r="AG89" s="55">
        <f t="shared" si="81"/>
        <v>2.6413332772259386</v>
      </c>
      <c r="AH89" s="309" t="str">
        <f t="shared" si="82"/>
        <v/>
      </c>
      <c r="AI89" s="48"/>
      <c r="AJ89" s="34"/>
      <c r="AK89" s="34"/>
      <c r="AL89" s="19"/>
    </row>
    <row r="90" spans="1:38" x14ac:dyDescent="0.2">
      <c r="A90" s="402"/>
      <c r="B90" s="96" t="str">
        <f t="shared" si="88"/>
        <v>Exptal</v>
      </c>
      <c r="C90" s="348" t="str">
        <f t="shared" ref="C90" si="92">C57</f>
        <v>Chris</v>
      </c>
      <c r="D90" s="11">
        <v>7.8</v>
      </c>
      <c r="E90" s="54">
        <f t="shared" si="84"/>
        <v>400.1</v>
      </c>
      <c r="F90" s="11">
        <v>402.6</v>
      </c>
      <c r="G90" s="11">
        <v>397.6</v>
      </c>
      <c r="H90" s="11">
        <v>420.8</v>
      </c>
      <c r="I90" s="11">
        <v>419.3</v>
      </c>
      <c r="J90" s="11">
        <v>410.8</v>
      </c>
      <c r="K90" s="309" t="str">
        <f t="shared" si="65"/>
        <v/>
      </c>
      <c r="L90" s="310"/>
      <c r="M90" s="55">
        <f t="shared" si="66"/>
        <v>20.699999999999989</v>
      </c>
      <c r="N90" s="55">
        <f t="shared" si="85"/>
        <v>20.699999999999989</v>
      </c>
      <c r="O90" s="55">
        <f t="shared" si="67"/>
        <v>20.763163654579092</v>
      </c>
      <c r="P90" s="55">
        <f t="shared" si="68"/>
        <v>16.937519468832473</v>
      </c>
      <c r="Q90" s="309" t="str">
        <f t="shared" si="69"/>
        <v/>
      </c>
      <c r="R90" s="100"/>
      <c r="S90" s="31" t="str">
        <f t="shared" si="70"/>
        <v>Exptal</v>
      </c>
      <c r="T90" s="31" t="str">
        <f t="shared" si="71"/>
        <v>Chris</v>
      </c>
      <c r="U90" s="54">
        <f t="shared" si="72"/>
        <v>7.8</v>
      </c>
      <c r="V90" s="54">
        <f t="shared" si="86"/>
        <v>599.16949939940559</v>
      </c>
      <c r="W90" s="55">
        <f t="shared" si="73"/>
        <v>599.79435132056915</v>
      </c>
      <c r="X90" s="55">
        <f t="shared" si="74"/>
        <v>598.54464747824193</v>
      </c>
      <c r="Y90" s="55">
        <f t="shared" si="75"/>
        <v>604.21576614235005</v>
      </c>
      <c r="Z90" s="55">
        <f t="shared" si="76"/>
        <v>603.85866541767166</v>
      </c>
      <c r="AA90" s="55">
        <f t="shared" si="77"/>
        <v>601.81064780544034</v>
      </c>
      <c r="AB90" s="314" t="str">
        <f t="shared" si="78"/>
        <v/>
      </c>
      <c r="AC90" s="315"/>
      <c r="AD90" s="55">
        <f t="shared" si="79"/>
        <v>5.0462667429444537</v>
      </c>
      <c r="AE90" s="55">
        <f t="shared" si="87"/>
        <v>5.0462667429444537</v>
      </c>
      <c r="AF90" s="55">
        <f t="shared" si="80"/>
        <v>5.0565970960784545</v>
      </c>
      <c r="AG90" s="55">
        <f t="shared" si="81"/>
        <v>4.1385502309982183</v>
      </c>
      <c r="AH90" s="309" t="str">
        <f t="shared" si="82"/>
        <v/>
      </c>
      <c r="AI90" s="48"/>
      <c r="AJ90" s="34"/>
      <c r="AK90" s="34"/>
      <c r="AL90" s="19"/>
    </row>
    <row r="91" spans="1:38" x14ac:dyDescent="0.2">
      <c r="A91" s="402"/>
      <c r="B91" s="96" t="str">
        <f t="shared" si="88"/>
        <v>Exptal</v>
      </c>
      <c r="C91" s="348" t="str">
        <f t="shared" ref="C91" si="93">C58</f>
        <v>Corey</v>
      </c>
      <c r="D91" s="11">
        <v>8.1</v>
      </c>
      <c r="E91" s="54">
        <f t="shared" si="84"/>
        <v>392.9</v>
      </c>
      <c r="F91" s="11">
        <v>386.5</v>
      </c>
      <c r="G91" s="11">
        <v>399.3</v>
      </c>
      <c r="H91" s="11">
        <v>399</v>
      </c>
      <c r="I91" s="11">
        <v>397.2</v>
      </c>
      <c r="J91" s="11">
        <v>415.2</v>
      </c>
      <c r="K91" s="309" t="str">
        <f t="shared" si="65"/>
        <v/>
      </c>
      <c r="L91" s="310"/>
      <c r="M91" s="55">
        <f t="shared" si="66"/>
        <v>6.1000000000000227</v>
      </c>
      <c r="N91" s="55">
        <f t="shared" si="85"/>
        <v>6.1000000000000227</v>
      </c>
      <c r="O91" s="55">
        <f t="shared" si="67"/>
        <v>8.9193958543951872</v>
      </c>
      <c r="P91" s="55">
        <f t="shared" si="68"/>
        <v>2.9379152982741306</v>
      </c>
      <c r="Q91" s="309" t="str">
        <f t="shared" si="69"/>
        <v/>
      </c>
      <c r="R91" s="100"/>
      <c r="S91" s="31" t="str">
        <f t="shared" si="70"/>
        <v>Exptal</v>
      </c>
      <c r="T91" s="31" t="str">
        <f t="shared" si="71"/>
        <v>Corey</v>
      </c>
      <c r="U91" s="54">
        <f t="shared" si="72"/>
        <v>8.1</v>
      </c>
      <c r="V91" s="54">
        <f t="shared" si="86"/>
        <v>597.34224410483262</v>
      </c>
      <c r="W91" s="55">
        <f t="shared" si="73"/>
        <v>595.71318680274771</v>
      </c>
      <c r="X91" s="55">
        <f t="shared" si="74"/>
        <v>598.97130140691763</v>
      </c>
      <c r="Y91" s="55">
        <f t="shared" si="75"/>
        <v>598.8961416889864</v>
      </c>
      <c r="Z91" s="55">
        <f t="shared" si="76"/>
        <v>598.44399321710182</v>
      </c>
      <c r="AA91" s="55">
        <f t="shared" si="77"/>
        <v>602.8760331851679</v>
      </c>
      <c r="AB91" s="314" t="str">
        <f t="shared" si="78"/>
        <v/>
      </c>
      <c r="AC91" s="315"/>
      <c r="AD91" s="55">
        <f t="shared" si="79"/>
        <v>1.5538975841537876</v>
      </c>
      <c r="AE91" s="55">
        <f t="shared" si="87"/>
        <v>1.5538975841537876</v>
      </c>
      <c r="AF91" s="55">
        <f t="shared" si="80"/>
        <v>2.1802683944454335</v>
      </c>
      <c r="AG91" s="55">
        <f t="shared" si="81"/>
        <v>0.79102945177344108</v>
      </c>
      <c r="AH91" s="309" t="str">
        <f t="shared" si="82"/>
        <v/>
      </c>
      <c r="AI91" s="48"/>
      <c r="AJ91" s="34"/>
      <c r="AK91" s="34"/>
      <c r="AL91" s="19"/>
    </row>
    <row r="92" spans="1:38" x14ac:dyDescent="0.2">
      <c r="A92" s="402"/>
      <c r="B92" s="96" t="str">
        <f t="shared" si="88"/>
        <v>Exptal</v>
      </c>
      <c r="C92" s="348" t="str">
        <f t="shared" ref="C92" si="94">C59</f>
        <v>Courtney</v>
      </c>
      <c r="D92" s="11">
        <v>9.4</v>
      </c>
      <c r="E92" s="54">
        <f t="shared" si="84"/>
        <v>393.25</v>
      </c>
      <c r="F92" s="11">
        <v>392.4</v>
      </c>
      <c r="G92" s="11">
        <v>394.1</v>
      </c>
      <c r="H92" s="11">
        <v>401.4</v>
      </c>
      <c r="I92" s="11">
        <v>396.2</v>
      </c>
      <c r="J92" s="11">
        <v>391.4</v>
      </c>
      <c r="K92" s="309" t="str">
        <f t="shared" si="65"/>
        <v/>
      </c>
      <c r="L92" s="310"/>
      <c r="M92" s="55">
        <f t="shared" si="66"/>
        <v>8.1499999999999773</v>
      </c>
      <c r="N92" s="55">
        <f t="shared" si="85"/>
        <v>8.1499999999999773</v>
      </c>
      <c r="O92" s="55">
        <f t="shared" si="67"/>
        <v>10.835412344681853</v>
      </c>
      <c r="P92" s="55">
        <f t="shared" si="68"/>
        <v>7.5896305591877953</v>
      </c>
      <c r="Q92" s="309" t="str">
        <f t="shared" si="69"/>
        <v/>
      </c>
      <c r="R92" s="100"/>
      <c r="S92" s="31" t="str">
        <f t="shared" si="70"/>
        <v>Exptal</v>
      </c>
      <c r="T92" s="31" t="str">
        <f t="shared" si="71"/>
        <v>Courtney</v>
      </c>
      <c r="U92" s="54">
        <f t="shared" si="72"/>
        <v>9.4</v>
      </c>
      <c r="V92" s="54">
        <f t="shared" si="86"/>
        <v>597.44432059460837</v>
      </c>
      <c r="W92" s="55">
        <f t="shared" si="73"/>
        <v>597.22817276912087</v>
      </c>
      <c r="X92" s="55">
        <f t="shared" si="74"/>
        <v>597.66046842009587</v>
      </c>
      <c r="Y92" s="55">
        <f t="shared" si="75"/>
        <v>599.49584363622375</v>
      </c>
      <c r="Z92" s="55">
        <f t="shared" si="76"/>
        <v>598.19191342644501</v>
      </c>
      <c r="AA92" s="55">
        <f t="shared" si="77"/>
        <v>596.97300549619752</v>
      </c>
      <c r="AB92" s="314" t="str">
        <f t="shared" si="78"/>
        <v/>
      </c>
      <c r="AC92" s="315"/>
      <c r="AD92" s="55">
        <f t="shared" si="79"/>
        <v>2.0515230416153827</v>
      </c>
      <c r="AE92" s="55">
        <f t="shared" si="87"/>
        <v>2.0515230416153827</v>
      </c>
      <c r="AF92" s="55">
        <f t="shared" si="80"/>
        <v>2.6434798060901858</v>
      </c>
      <c r="AG92" s="55">
        <f t="shared" si="81"/>
        <v>1.9163312206872203</v>
      </c>
      <c r="AH92" s="309" t="str">
        <f t="shared" si="82"/>
        <v/>
      </c>
      <c r="AI92" s="48"/>
      <c r="AJ92" s="34"/>
      <c r="AK92" s="34"/>
      <c r="AL92" s="19"/>
    </row>
    <row r="93" spans="1:38" x14ac:dyDescent="0.2">
      <c r="A93" s="402"/>
      <c r="B93" s="96" t="str">
        <f t="shared" si="88"/>
        <v>Exptal</v>
      </c>
      <c r="C93" s="348" t="str">
        <f t="shared" ref="C93" si="95">C60</f>
        <v>Devon</v>
      </c>
      <c r="D93" s="11">
        <v>7.8</v>
      </c>
      <c r="E93" s="54">
        <f t="shared" si="84"/>
        <v>404.15</v>
      </c>
      <c r="F93" s="11">
        <v>408.4</v>
      </c>
      <c r="G93" s="11">
        <v>399.9</v>
      </c>
      <c r="H93" s="11">
        <v>428.5</v>
      </c>
      <c r="I93" s="11">
        <v>439.7</v>
      </c>
      <c r="J93" s="11">
        <v>410.3</v>
      </c>
      <c r="K93" s="309" t="str">
        <f t="shared" si="65"/>
        <v/>
      </c>
      <c r="L93" s="310"/>
      <c r="M93" s="55">
        <f t="shared" si="66"/>
        <v>24.350000000000023</v>
      </c>
      <c r="N93" s="55">
        <f t="shared" si="85"/>
        <v>24.350000000000023</v>
      </c>
      <c r="O93" s="55">
        <f t="shared" si="67"/>
        <v>22.86278304218262</v>
      </c>
      <c r="P93" s="55">
        <f t="shared" si="68"/>
        <v>20.587519468832507</v>
      </c>
      <c r="Q93" s="309" t="str">
        <f t="shared" si="69"/>
        <v/>
      </c>
      <c r="R93" s="100"/>
      <c r="S93" s="31" t="str">
        <f t="shared" si="70"/>
        <v>Exptal</v>
      </c>
      <c r="T93" s="31" t="str">
        <f t="shared" si="71"/>
        <v>Devon</v>
      </c>
      <c r="U93" s="54">
        <f t="shared" si="72"/>
        <v>7.8</v>
      </c>
      <c r="V93" s="54">
        <f t="shared" si="86"/>
        <v>600.1730801071642</v>
      </c>
      <c r="W93" s="55">
        <f t="shared" si="73"/>
        <v>601.22470862905107</v>
      </c>
      <c r="X93" s="55">
        <f t="shared" si="74"/>
        <v>599.12145158527721</v>
      </c>
      <c r="Y93" s="55">
        <f t="shared" si="75"/>
        <v>606.02907380378349</v>
      </c>
      <c r="Z93" s="55">
        <f t="shared" si="76"/>
        <v>608.60926761867643</v>
      </c>
      <c r="AA93" s="55">
        <f t="shared" si="77"/>
        <v>601.68885994481411</v>
      </c>
      <c r="AB93" s="314" t="str">
        <f t="shared" si="78"/>
        <v/>
      </c>
      <c r="AC93" s="315"/>
      <c r="AD93" s="55">
        <f t="shared" si="79"/>
        <v>5.8559936966192936</v>
      </c>
      <c r="AE93" s="55">
        <f t="shared" si="87"/>
        <v>5.8559936966192936</v>
      </c>
      <c r="AF93" s="55">
        <f t="shared" si="80"/>
        <v>5.5279770657065557</v>
      </c>
      <c r="AG93" s="55">
        <f t="shared" si="81"/>
        <v>4.9482771846730582</v>
      </c>
      <c r="AH93" s="309" t="str">
        <f t="shared" si="82"/>
        <v/>
      </c>
      <c r="AI93" s="48"/>
      <c r="AJ93" s="34"/>
      <c r="AK93" s="34"/>
      <c r="AL93" s="19"/>
    </row>
    <row r="94" spans="1:38" x14ac:dyDescent="0.2">
      <c r="A94" s="402"/>
      <c r="B94" s="96" t="str">
        <f t="shared" si="88"/>
        <v>Exptal</v>
      </c>
      <c r="C94" s="348" t="str">
        <f t="shared" ref="C94" si="96">C61</f>
        <v>Drew</v>
      </c>
      <c r="D94" s="11">
        <v>12.7</v>
      </c>
      <c r="E94" s="54">
        <f t="shared" si="84"/>
        <v>399.5</v>
      </c>
      <c r="F94" s="11">
        <v>392.1</v>
      </c>
      <c r="G94" s="11">
        <v>406.9</v>
      </c>
      <c r="H94" s="11">
        <v>398.4</v>
      </c>
      <c r="I94" s="11">
        <v>399.8</v>
      </c>
      <c r="J94" s="11">
        <v>405.7</v>
      </c>
      <c r="K94" s="309" t="str">
        <f t="shared" si="65"/>
        <v/>
      </c>
      <c r="L94" s="310"/>
      <c r="M94" s="55">
        <f t="shared" si="66"/>
        <v>-1.1000000000000227</v>
      </c>
      <c r="N94" s="55">
        <f t="shared" si="85"/>
        <v>-1.1000000000000227</v>
      </c>
      <c r="O94" s="55">
        <f t="shared" si="67"/>
        <v>-0.80715032876957338</v>
      </c>
      <c r="P94" s="55">
        <f t="shared" si="68"/>
        <v>4.9439846830456684</v>
      </c>
      <c r="Q94" s="309" t="str">
        <f t="shared" si="69"/>
        <v/>
      </c>
      <c r="R94" s="100"/>
      <c r="S94" s="31" t="str">
        <f t="shared" si="70"/>
        <v>Exptal</v>
      </c>
      <c r="T94" s="31" t="str">
        <f t="shared" si="71"/>
        <v>Drew</v>
      </c>
      <c r="U94" s="54">
        <f t="shared" si="72"/>
        <v>12.7</v>
      </c>
      <c r="V94" s="54">
        <f t="shared" si="86"/>
        <v>599.00421821529653</v>
      </c>
      <c r="W94" s="55">
        <f t="shared" si="73"/>
        <v>597.15169092982853</v>
      </c>
      <c r="X94" s="55">
        <f t="shared" si="74"/>
        <v>600.85674550076442</v>
      </c>
      <c r="Y94" s="55">
        <f t="shared" si="75"/>
        <v>598.74565257104427</v>
      </c>
      <c r="Z94" s="55">
        <f t="shared" si="76"/>
        <v>599.09644220663006</v>
      </c>
      <c r="AA94" s="55">
        <f t="shared" si="77"/>
        <v>600.56139702124017</v>
      </c>
      <c r="AB94" s="314" t="str">
        <f t="shared" si="78"/>
        <v/>
      </c>
      <c r="AC94" s="315"/>
      <c r="AD94" s="55">
        <f t="shared" si="79"/>
        <v>-0.2585656442522577</v>
      </c>
      <c r="AE94" s="55">
        <f t="shared" si="87"/>
        <v>-0.2585656442522577</v>
      </c>
      <c r="AF94" s="55">
        <f t="shared" si="80"/>
        <v>-0.19251242824271217</v>
      </c>
      <c r="AG94" s="55">
        <f t="shared" si="81"/>
        <v>1.1995747100443537</v>
      </c>
      <c r="AH94" s="309" t="str">
        <f t="shared" si="82"/>
        <v/>
      </c>
      <c r="AI94" s="48"/>
      <c r="AJ94" s="34"/>
      <c r="AK94" s="34"/>
      <c r="AL94" s="19"/>
    </row>
    <row r="95" spans="1:38" x14ac:dyDescent="0.2">
      <c r="A95" s="402"/>
      <c r="B95" s="96" t="str">
        <f t="shared" si="88"/>
        <v>Exptal</v>
      </c>
      <c r="C95" s="348" t="str">
        <f t="shared" ref="C95" si="97">C62</f>
        <v>Dylan</v>
      </c>
      <c r="D95" s="11">
        <v>9.1999999999999993</v>
      </c>
      <c r="E95" s="54">
        <f t="shared" si="84"/>
        <v>399.15</v>
      </c>
      <c r="F95" s="11">
        <v>396.1</v>
      </c>
      <c r="G95" s="11">
        <v>402.2</v>
      </c>
      <c r="H95" s="11">
        <v>404.7</v>
      </c>
      <c r="I95" s="11">
        <v>396.7</v>
      </c>
      <c r="J95" s="11">
        <v>394.3</v>
      </c>
      <c r="K95" s="309" t="str">
        <f t="shared" si="65"/>
        <v/>
      </c>
      <c r="L95" s="310"/>
      <c r="M95" s="55">
        <f t="shared" si="66"/>
        <v>5.5500000000000114</v>
      </c>
      <c r="N95" s="55">
        <f t="shared" si="85"/>
        <v>5.5500000000000114</v>
      </c>
      <c r="O95" s="55">
        <f t="shared" si="67"/>
        <v>5.9768331809437498</v>
      </c>
      <c r="P95" s="55">
        <f t="shared" si="68"/>
        <v>4.5893666728934104</v>
      </c>
      <c r="Q95" s="309" t="str">
        <f t="shared" si="69"/>
        <v/>
      </c>
      <c r="R95" s="100"/>
      <c r="S95" s="31" t="str">
        <f t="shared" si="70"/>
        <v>Exptal</v>
      </c>
      <c r="T95" s="31" t="str">
        <f t="shared" si="71"/>
        <v>Dylan</v>
      </c>
      <c r="U95" s="54">
        <f t="shared" si="72"/>
        <v>9.1999999999999993</v>
      </c>
      <c r="V95" s="54">
        <f t="shared" si="86"/>
        <v>598.93080909832111</v>
      </c>
      <c r="W95" s="55">
        <f t="shared" si="73"/>
        <v>598.16667046278712</v>
      </c>
      <c r="X95" s="55">
        <f t="shared" si="74"/>
        <v>599.6949477338552</v>
      </c>
      <c r="Y95" s="55">
        <f t="shared" si="75"/>
        <v>600.31460518818199</v>
      </c>
      <c r="Z95" s="55">
        <f t="shared" si="76"/>
        <v>598.31803275202844</v>
      </c>
      <c r="AA95" s="55">
        <f t="shared" si="77"/>
        <v>597.71120408835816</v>
      </c>
      <c r="AB95" s="314" t="str">
        <f t="shared" si="78"/>
        <v/>
      </c>
      <c r="AC95" s="315"/>
      <c r="AD95" s="55">
        <f t="shared" si="79"/>
        <v>1.3837960898608799</v>
      </c>
      <c r="AE95" s="55">
        <f t="shared" si="87"/>
        <v>1.3837960898608799</v>
      </c>
      <c r="AF95" s="55">
        <f t="shared" si="80"/>
        <v>1.4745984397847693</v>
      </c>
      <c r="AG95" s="55">
        <f t="shared" si="81"/>
        <v>1.152038682555458</v>
      </c>
      <c r="AH95" s="309" t="str">
        <f t="shared" si="82"/>
        <v/>
      </c>
      <c r="AI95" s="48"/>
      <c r="AJ95" s="34"/>
      <c r="AK95" s="34"/>
      <c r="AL95" s="19"/>
    </row>
    <row r="96" spans="1:38" x14ac:dyDescent="0.2">
      <c r="A96" s="402"/>
      <c r="B96" s="96" t="str">
        <f t="shared" si="88"/>
        <v>Exptal</v>
      </c>
      <c r="C96" s="348" t="str">
        <f t="shared" ref="C96" si="98">C63</f>
        <v>Frances</v>
      </c>
      <c r="D96" s="11">
        <v>7.8</v>
      </c>
      <c r="E96" s="54">
        <f t="shared" si="84"/>
        <v>394.04999999999995</v>
      </c>
      <c r="F96" s="11">
        <v>398.9</v>
      </c>
      <c r="G96" s="11">
        <v>389.2</v>
      </c>
      <c r="H96" s="11">
        <v>403.7</v>
      </c>
      <c r="I96" s="11">
        <v>397.4</v>
      </c>
      <c r="J96" s="11">
        <v>397</v>
      </c>
      <c r="K96" s="309" t="str">
        <f t="shared" si="65"/>
        <v/>
      </c>
      <c r="L96" s="310"/>
      <c r="M96" s="55">
        <f t="shared" si="66"/>
        <v>9.6500000000000341</v>
      </c>
      <c r="N96" s="55">
        <f t="shared" si="85"/>
        <v>9.6500000000000341</v>
      </c>
      <c r="O96" s="55">
        <f t="shared" si="67"/>
        <v>12.029164322480145</v>
      </c>
      <c r="P96" s="55">
        <f t="shared" si="68"/>
        <v>5.887519468832517</v>
      </c>
      <c r="Q96" s="309" t="str">
        <f t="shared" si="69"/>
        <v/>
      </c>
      <c r="R96" s="100"/>
      <c r="S96" s="31" t="str">
        <f t="shared" si="70"/>
        <v>Exptal</v>
      </c>
      <c r="T96" s="31" t="str">
        <f t="shared" si="71"/>
        <v>Frances</v>
      </c>
      <c r="U96" s="54">
        <f t="shared" si="72"/>
        <v>7.8</v>
      </c>
      <c r="V96" s="54">
        <f t="shared" si="86"/>
        <v>597.64020546116058</v>
      </c>
      <c r="W96" s="55">
        <f t="shared" si="73"/>
        <v>598.87107589113612</v>
      </c>
      <c r="X96" s="55">
        <f t="shared" si="74"/>
        <v>596.40933503118504</v>
      </c>
      <c r="Y96" s="55">
        <f t="shared" si="75"/>
        <v>600.06720278588955</v>
      </c>
      <c r="Z96" s="55">
        <f t="shared" si="76"/>
        <v>598.49433301177169</v>
      </c>
      <c r="AA96" s="55">
        <f t="shared" si="77"/>
        <v>598.39362806871907</v>
      </c>
      <c r="AB96" s="314" t="str">
        <f t="shared" si="78"/>
        <v/>
      </c>
      <c r="AC96" s="315"/>
      <c r="AD96" s="55">
        <f t="shared" si="79"/>
        <v>2.4269973247289727</v>
      </c>
      <c r="AE96" s="55">
        <f t="shared" si="87"/>
        <v>2.4269973247289727</v>
      </c>
      <c r="AF96" s="55">
        <f t="shared" si="80"/>
        <v>2.952913507409054</v>
      </c>
      <c r="AG96" s="55">
        <f t="shared" si="81"/>
        <v>1.5192808127827377</v>
      </c>
      <c r="AH96" s="309" t="str">
        <f t="shared" si="82"/>
        <v/>
      </c>
      <c r="AI96" s="48"/>
      <c r="AJ96" s="34"/>
      <c r="AK96" s="34"/>
      <c r="AL96" s="19"/>
    </row>
    <row r="97" spans="1:38" x14ac:dyDescent="0.2">
      <c r="A97" s="402"/>
      <c r="B97" s="96" t="str">
        <f t="shared" si="88"/>
        <v>Exptal</v>
      </c>
      <c r="C97" s="348" t="str">
        <f t="shared" ref="C97" si="99">C64</f>
        <v>Gene</v>
      </c>
      <c r="D97" s="11">
        <v>9.8000000000000007</v>
      </c>
      <c r="E97" s="54">
        <f t="shared" si="84"/>
        <v>400.7</v>
      </c>
      <c r="F97" s="11">
        <v>404.7</v>
      </c>
      <c r="G97" s="11">
        <v>396.7</v>
      </c>
      <c r="H97" s="11">
        <v>399.9</v>
      </c>
      <c r="I97" s="11">
        <v>398</v>
      </c>
      <c r="J97" s="11">
        <v>406.5</v>
      </c>
      <c r="K97" s="309" t="str">
        <f t="shared" si="65"/>
        <v/>
      </c>
      <c r="L97" s="310"/>
      <c r="M97" s="55">
        <f t="shared" si="66"/>
        <v>-0.80000000000001137</v>
      </c>
      <c r="N97" s="55">
        <f t="shared" si="85"/>
        <v>-0.80000000000001137</v>
      </c>
      <c r="O97" s="55">
        <f t="shared" si="67"/>
        <v>-0.96652236207223152</v>
      </c>
      <c r="P97" s="55">
        <f t="shared" si="68"/>
        <v>-0.55984166822335935</v>
      </c>
      <c r="Q97" s="309" t="str">
        <f t="shared" si="69"/>
        <v/>
      </c>
      <c r="R97" s="100"/>
      <c r="S97" s="31" t="str">
        <f t="shared" si="70"/>
        <v>Exptal</v>
      </c>
      <c r="T97" s="31" t="str">
        <f t="shared" si="71"/>
        <v>Gene</v>
      </c>
      <c r="U97" s="54">
        <f t="shared" si="72"/>
        <v>9.8000000000000007</v>
      </c>
      <c r="V97" s="54">
        <f t="shared" si="86"/>
        <v>599.31631897010516</v>
      </c>
      <c r="W97" s="55">
        <f t="shared" si="73"/>
        <v>600.31460518818199</v>
      </c>
      <c r="X97" s="55">
        <f t="shared" si="74"/>
        <v>598.31803275202844</v>
      </c>
      <c r="Y97" s="55">
        <f t="shared" si="75"/>
        <v>599.12145158527721</v>
      </c>
      <c r="Z97" s="55">
        <f t="shared" si="76"/>
        <v>598.64520052844375</v>
      </c>
      <c r="AA97" s="55">
        <f t="shared" si="77"/>
        <v>600.75839289878661</v>
      </c>
      <c r="AB97" s="314" t="str">
        <f t="shared" si="78"/>
        <v/>
      </c>
      <c r="AC97" s="315"/>
      <c r="AD97" s="55">
        <f t="shared" si="79"/>
        <v>-0.19486738482794408</v>
      </c>
      <c r="AE97" s="55">
        <f t="shared" si="87"/>
        <v>-0.19486738482794408</v>
      </c>
      <c r="AF97" s="55">
        <f t="shared" si="80"/>
        <v>-0.2340357501938044</v>
      </c>
      <c r="AG97" s="55">
        <f t="shared" si="81"/>
        <v>-0.13692803300158818</v>
      </c>
      <c r="AH97" s="309" t="str">
        <f t="shared" si="82"/>
        <v/>
      </c>
      <c r="AI97" s="48"/>
      <c r="AJ97" s="34"/>
      <c r="AK97" s="34"/>
      <c r="AL97" s="19"/>
    </row>
    <row r="98" spans="1:38" x14ac:dyDescent="0.2">
      <c r="A98" s="402"/>
      <c r="B98" s="96" t="str">
        <f t="shared" si="88"/>
        <v>Exptal</v>
      </c>
      <c r="C98" s="348" t="str">
        <f t="shared" ref="C98" si="100">C65</f>
        <v>Jaimie</v>
      </c>
      <c r="D98" s="11">
        <v>9.6</v>
      </c>
      <c r="E98" s="54">
        <f t="shared" si="84"/>
        <v>398</v>
      </c>
      <c r="F98" s="11">
        <v>401.5</v>
      </c>
      <c r="G98" s="11">
        <v>394.5</v>
      </c>
      <c r="H98" s="11">
        <v>420.7</v>
      </c>
      <c r="I98" s="11">
        <v>417.6</v>
      </c>
      <c r="J98" s="11">
        <v>410.8</v>
      </c>
      <c r="K98" s="309" t="str">
        <f t="shared" si="65"/>
        <v/>
      </c>
      <c r="L98" s="310"/>
      <c r="M98" s="55">
        <f t="shared" si="66"/>
        <v>22.699999999999989</v>
      </c>
      <c r="N98" s="55">
        <f t="shared" si="85"/>
        <v>22.699999999999989</v>
      </c>
      <c r="O98" s="55">
        <f t="shared" si="67"/>
        <v>23.56706471285878</v>
      </c>
      <c r="P98" s="55">
        <f t="shared" si="68"/>
        <v>22.539894445482222</v>
      </c>
      <c r="Q98" s="309" t="str">
        <f t="shared" si="69"/>
        <v/>
      </c>
      <c r="R98" s="100"/>
      <c r="S98" s="31" t="str">
        <f t="shared" si="70"/>
        <v>Exptal</v>
      </c>
      <c r="T98" s="31" t="str">
        <f t="shared" si="71"/>
        <v>Jaimie</v>
      </c>
      <c r="U98" s="54">
        <f t="shared" si="72"/>
        <v>9.6</v>
      </c>
      <c r="V98" s="54">
        <f t="shared" si="86"/>
        <v>598.6413336836373</v>
      </c>
      <c r="W98" s="55">
        <f t="shared" si="73"/>
        <v>599.52075333868163</v>
      </c>
      <c r="X98" s="55">
        <f t="shared" si="74"/>
        <v>597.76191402859297</v>
      </c>
      <c r="Y98" s="55">
        <f t="shared" si="75"/>
        <v>604.19199905964751</v>
      </c>
      <c r="Z98" s="55">
        <f t="shared" si="76"/>
        <v>603.45240365684299</v>
      </c>
      <c r="AA98" s="55">
        <f t="shared" si="77"/>
        <v>601.81064780544034</v>
      </c>
      <c r="AB98" s="314" t="str">
        <f t="shared" si="78"/>
        <v/>
      </c>
      <c r="AC98" s="315"/>
      <c r="AD98" s="55">
        <f t="shared" si="79"/>
        <v>5.5506653760102154</v>
      </c>
      <c r="AE98" s="55">
        <f t="shared" si="87"/>
        <v>5.5506653760102154</v>
      </c>
      <c r="AF98" s="55">
        <f t="shared" si="80"/>
        <v>5.7390614050042128</v>
      </c>
      <c r="AG98" s="55">
        <f t="shared" si="81"/>
        <v>5.5120391414593115</v>
      </c>
      <c r="AH98" s="309" t="str">
        <f t="shared" si="82"/>
        <v/>
      </c>
      <c r="AI98" s="48"/>
      <c r="AJ98" s="34"/>
      <c r="AK98" s="34"/>
      <c r="AL98" s="19"/>
    </row>
    <row r="99" spans="1:38" x14ac:dyDescent="0.2">
      <c r="A99" s="402"/>
      <c r="B99" s="96" t="str">
        <f t="shared" si="88"/>
        <v>Exptal</v>
      </c>
      <c r="C99" s="348" t="str">
        <f t="shared" ref="C99" si="101">C66</f>
        <v>Jean</v>
      </c>
      <c r="D99" s="11">
        <v>14</v>
      </c>
      <c r="E99" s="54">
        <f t="shared" si="84"/>
        <v>407.45</v>
      </c>
      <c r="F99" s="11">
        <v>407.7</v>
      </c>
      <c r="G99" s="11">
        <v>407.2</v>
      </c>
      <c r="H99" s="11">
        <v>422.5</v>
      </c>
      <c r="I99" s="11">
        <v>393.5</v>
      </c>
      <c r="J99" s="11">
        <v>390.9</v>
      </c>
      <c r="K99" s="309" t="str">
        <f t="shared" si="65"/>
        <v/>
      </c>
      <c r="L99" s="310"/>
      <c r="M99" s="55">
        <f t="shared" si="66"/>
        <v>15.050000000000011</v>
      </c>
      <c r="N99" s="55">
        <f t="shared" si="85"/>
        <v>15.050000000000011</v>
      </c>
      <c r="O99" s="55">
        <f t="shared" si="67"/>
        <v>12.29950995060025</v>
      </c>
      <c r="P99" s="55">
        <f t="shared" si="68"/>
        <v>23.695699943959411</v>
      </c>
      <c r="Q99" s="309" t="str">
        <f t="shared" si="69"/>
        <v/>
      </c>
      <c r="R99" s="100"/>
      <c r="S99" s="31" t="str">
        <f t="shared" si="70"/>
        <v>Exptal</v>
      </c>
      <c r="T99" s="31" t="str">
        <f t="shared" si="71"/>
        <v>Jean</v>
      </c>
      <c r="U99" s="54">
        <f t="shared" si="72"/>
        <v>14</v>
      </c>
      <c r="V99" s="54">
        <f t="shared" si="86"/>
        <v>600.99180375307606</v>
      </c>
      <c r="W99" s="55">
        <f t="shared" si="73"/>
        <v>601.05316098252069</v>
      </c>
      <c r="X99" s="55">
        <f t="shared" si="74"/>
        <v>600.9304465236313</v>
      </c>
      <c r="Y99" s="55">
        <f t="shared" si="75"/>
        <v>604.61894467972286</v>
      </c>
      <c r="Z99" s="55">
        <f t="shared" si="76"/>
        <v>597.50810678574578</v>
      </c>
      <c r="AA99" s="55">
        <f t="shared" si="77"/>
        <v>596.84517727989089</v>
      </c>
      <c r="AB99" s="314" t="str">
        <f t="shared" si="78"/>
        <v/>
      </c>
      <c r="AC99" s="315"/>
      <c r="AD99" s="55">
        <f t="shared" si="79"/>
        <v>3.6271409266468027</v>
      </c>
      <c r="AE99" s="55">
        <f t="shared" si="87"/>
        <v>3.6271409266468027</v>
      </c>
      <c r="AF99" s="55">
        <f t="shared" si="80"/>
        <v>3.0230999817745943</v>
      </c>
      <c r="AG99" s="55">
        <f t="shared" si="81"/>
        <v>5.7129575923955986</v>
      </c>
      <c r="AH99" s="309" t="str">
        <f t="shared" si="82"/>
        <v/>
      </c>
      <c r="AI99" s="48"/>
      <c r="AJ99" s="34"/>
      <c r="AK99" s="34"/>
      <c r="AL99" s="19"/>
    </row>
    <row r="100" spans="1:38" x14ac:dyDescent="0.2">
      <c r="A100" s="402"/>
      <c r="B100" s="96" t="str">
        <f t="shared" si="88"/>
        <v>Exptal</v>
      </c>
      <c r="C100" s="348" t="str">
        <f t="shared" ref="C100" si="102">C67</f>
        <v>Jesse</v>
      </c>
      <c r="D100" s="11">
        <v>10.5</v>
      </c>
      <c r="E100" s="54">
        <f t="shared" si="84"/>
        <v>394.4</v>
      </c>
      <c r="F100" s="11">
        <v>396.7</v>
      </c>
      <c r="G100" s="11">
        <v>392.1</v>
      </c>
      <c r="H100" s="11">
        <v>405.4</v>
      </c>
      <c r="I100" s="11">
        <v>391.1</v>
      </c>
      <c r="J100" s="11">
        <v>398.9</v>
      </c>
      <c r="K100" s="309" t="str">
        <f t="shared" si="65"/>
        <v/>
      </c>
      <c r="L100" s="310"/>
      <c r="M100" s="55">
        <f t="shared" si="66"/>
        <v>11</v>
      </c>
      <c r="N100" s="55">
        <f t="shared" si="85"/>
        <v>11</v>
      </c>
      <c r="O100" s="55">
        <f t="shared" si="67"/>
        <v>13.245180812766822</v>
      </c>
      <c r="P100" s="55">
        <f t="shared" si="68"/>
        <v>12.64108193380711</v>
      </c>
      <c r="Q100" s="309" t="str">
        <f t="shared" si="69"/>
        <v/>
      </c>
      <c r="R100" s="100"/>
      <c r="S100" s="31" t="str">
        <f t="shared" si="70"/>
        <v>Exptal</v>
      </c>
      <c r="T100" s="31" t="str">
        <f t="shared" si="71"/>
        <v>Jesse</v>
      </c>
      <c r="U100" s="54">
        <f t="shared" si="72"/>
        <v>10.5</v>
      </c>
      <c r="V100" s="54">
        <f t="shared" si="86"/>
        <v>597.73486184092849</v>
      </c>
      <c r="W100" s="55">
        <f t="shared" si="73"/>
        <v>598.31803275202844</v>
      </c>
      <c r="X100" s="55">
        <f t="shared" si="74"/>
        <v>597.15169092982853</v>
      </c>
      <c r="Y100" s="55">
        <f t="shared" si="75"/>
        <v>600.4874234017899</v>
      </c>
      <c r="Z100" s="55">
        <f t="shared" si="76"/>
        <v>596.89632817614688</v>
      </c>
      <c r="AA100" s="55">
        <f t="shared" si="77"/>
        <v>598.87107589113612</v>
      </c>
      <c r="AB100" s="314" t="str">
        <f t="shared" si="78"/>
        <v/>
      </c>
      <c r="AC100" s="315"/>
      <c r="AD100" s="55">
        <f t="shared" si="79"/>
        <v>2.7525615608614089</v>
      </c>
      <c r="AE100" s="55">
        <f t="shared" si="87"/>
        <v>2.7525615608614089</v>
      </c>
      <c r="AF100" s="55">
        <f t="shared" si="80"/>
        <v>3.2465653120173887</v>
      </c>
      <c r="AG100" s="55">
        <f t="shared" si="81"/>
        <v>3.1484804650081712</v>
      </c>
      <c r="AH100" s="309" t="str">
        <f t="shared" si="82"/>
        <v/>
      </c>
      <c r="AI100" s="48"/>
      <c r="AJ100" s="34"/>
      <c r="AK100" s="34"/>
      <c r="AL100" s="19"/>
    </row>
    <row r="101" spans="1:38" x14ac:dyDescent="0.2">
      <c r="A101" s="402"/>
      <c r="B101" s="96" t="str">
        <f t="shared" si="88"/>
        <v>Exptal</v>
      </c>
      <c r="C101" s="348" t="str">
        <f t="shared" ref="C101" si="103">C68</f>
        <v>Jo</v>
      </c>
      <c r="D101" s="11">
        <v>9.5</v>
      </c>
      <c r="E101" s="54">
        <f t="shared" si="84"/>
        <v>398.4</v>
      </c>
      <c r="F101" s="11">
        <v>402.2</v>
      </c>
      <c r="G101" s="11">
        <v>394.6</v>
      </c>
      <c r="H101" s="11">
        <v>414.1</v>
      </c>
      <c r="I101" s="11">
        <v>421.3</v>
      </c>
      <c r="J101" s="11">
        <v>413.2</v>
      </c>
      <c r="K101" s="309" t="str">
        <f t="shared" si="65"/>
        <v/>
      </c>
      <c r="L101" s="310"/>
      <c r="M101" s="55">
        <f t="shared" si="66"/>
        <v>15.700000000000045</v>
      </c>
      <c r="N101" s="55">
        <f t="shared" si="85"/>
        <v>15.700000000000045</v>
      </c>
      <c r="O101" s="55">
        <f t="shared" si="67"/>
        <v>16.413940701757955</v>
      </c>
      <c r="P101" s="55">
        <f t="shared" si="68"/>
        <v>15.339762502335072</v>
      </c>
      <c r="Q101" s="309" t="str">
        <f t="shared" si="69"/>
        <v/>
      </c>
      <c r="R101" s="100"/>
      <c r="S101" s="31" t="str">
        <f t="shared" si="70"/>
        <v>Exptal</v>
      </c>
      <c r="T101" s="31" t="str">
        <f t="shared" si="71"/>
        <v>Jo</v>
      </c>
      <c r="U101" s="54">
        <f t="shared" si="72"/>
        <v>9.5</v>
      </c>
      <c r="V101" s="54">
        <f t="shared" si="86"/>
        <v>598.74110354635332</v>
      </c>
      <c r="W101" s="55">
        <f t="shared" si="73"/>
        <v>599.6949477338552</v>
      </c>
      <c r="X101" s="55">
        <f t="shared" si="74"/>
        <v>597.78725935885154</v>
      </c>
      <c r="Y101" s="55">
        <f t="shared" si="75"/>
        <v>602.61074905515216</v>
      </c>
      <c r="Z101" s="55">
        <f t="shared" si="76"/>
        <v>604.3345168984971</v>
      </c>
      <c r="AA101" s="55">
        <f t="shared" si="77"/>
        <v>602.39317372454832</v>
      </c>
      <c r="AB101" s="314" t="str">
        <f t="shared" si="78"/>
        <v/>
      </c>
      <c r="AC101" s="315"/>
      <c r="AD101" s="55">
        <f t="shared" si="79"/>
        <v>3.8696455087988397</v>
      </c>
      <c r="AE101" s="55">
        <f t="shared" si="87"/>
        <v>3.8696455087988397</v>
      </c>
      <c r="AF101" s="55">
        <f t="shared" si="80"/>
        <v>4.0244051477269966</v>
      </c>
      <c r="AG101" s="55">
        <f t="shared" si="81"/>
        <v>3.7827364810593069</v>
      </c>
      <c r="AH101" s="309" t="str">
        <f t="shared" si="82"/>
        <v/>
      </c>
      <c r="AI101" s="48"/>
      <c r="AJ101" s="34"/>
      <c r="AK101" s="34"/>
      <c r="AL101" s="19"/>
    </row>
    <row r="102" spans="1:38" x14ac:dyDescent="0.2">
      <c r="A102" s="402"/>
      <c r="B102" s="96" t="str">
        <f t="shared" si="88"/>
        <v>Exptal</v>
      </c>
      <c r="C102" s="348" t="str">
        <f t="shared" ref="C102" si="104">C69</f>
        <v xml:space="preserve">Jody </v>
      </c>
      <c r="D102" s="11">
        <v>9.3000000000000007</v>
      </c>
      <c r="E102" s="54">
        <f t="shared" si="84"/>
        <v>397.3</v>
      </c>
      <c r="F102" s="11">
        <v>396.8</v>
      </c>
      <c r="G102" s="11">
        <v>397.8</v>
      </c>
      <c r="H102" s="11">
        <v>407.1</v>
      </c>
      <c r="I102" s="11">
        <v>410</v>
      </c>
      <c r="J102" s="11">
        <v>403.4</v>
      </c>
      <c r="K102" s="309" t="str">
        <f t="shared" si="65"/>
        <v/>
      </c>
      <c r="L102" s="311"/>
      <c r="M102" s="55">
        <f t="shared" si="66"/>
        <v>9.8000000000000114</v>
      </c>
      <c r="N102" s="55">
        <f t="shared" si="85"/>
        <v>9.8000000000000114</v>
      </c>
      <c r="O102" s="55">
        <f t="shared" si="67"/>
        <v>10.935031732285358</v>
      </c>
      <c r="P102" s="55">
        <f t="shared" si="68"/>
        <v>9.0394986160406212</v>
      </c>
      <c r="Q102" s="309" t="str">
        <f t="shared" si="69"/>
        <v/>
      </c>
      <c r="R102" s="100"/>
      <c r="S102" s="31" t="str">
        <f t="shared" si="70"/>
        <v>Exptal</v>
      </c>
      <c r="T102" s="31" t="str">
        <f t="shared" si="71"/>
        <v xml:space="preserve">Jody </v>
      </c>
      <c r="U102" s="54">
        <f t="shared" si="72"/>
        <v>9.3000000000000007</v>
      </c>
      <c r="V102" s="54">
        <f t="shared" si="86"/>
        <v>598.46908709152945</v>
      </c>
      <c r="W102" s="55">
        <f t="shared" si="73"/>
        <v>598.34323754107186</v>
      </c>
      <c r="X102" s="55">
        <f t="shared" si="74"/>
        <v>598.59493664198715</v>
      </c>
      <c r="Y102" s="55">
        <f t="shared" si="75"/>
        <v>600.90588555089334</v>
      </c>
      <c r="Z102" s="55">
        <f t="shared" si="76"/>
        <v>601.61571596983538</v>
      </c>
      <c r="AA102" s="55">
        <f t="shared" si="77"/>
        <v>599.99286255201105</v>
      </c>
      <c r="AB102" s="314" t="str">
        <f t="shared" si="78"/>
        <v/>
      </c>
      <c r="AC102" s="315"/>
      <c r="AD102" s="55">
        <f t="shared" si="79"/>
        <v>2.4367984593638994</v>
      </c>
      <c r="AE102" s="55">
        <f t="shared" si="87"/>
        <v>2.4367984593638994</v>
      </c>
      <c r="AF102" s="55">
        <f t="shared" si="80"/>
        <v>2.6832656673886119</v>
      </c>
      <c r="AG102" s="55">
        <f t="shared" si="81"/>
        <v>2.2533238452471078</v>
      </c>
      <c r="AH102" s="309" t="str">
        <f t="shared" si="82"/>
        <v/>
      </c>
      <c r="AI102" s="48"/>
      <c r="AJ102" s="34"/>
      <c r="AK102" s="34"/>
      <c r="AL102" s="19"/>
    </row>
    <row r="103" spans="1:38" x14ac:dyDescent="0.2">
      <c r="A103" s="402"/>
      <c r="B103" s="96" t="str">
        <f t="shared" si="88"/>
        <v>Exptal</v>
      </c>
      <c r="C103" s="348" t="str">
        <f t="shared" ref="C103" si="105">C70</f>
        <v>Jordan</v>
      </c>
      <c r="D103" s="11">
        <v>10.199999999999999</v>
      </c>
      <c r="E103" s="54">
        <f t="shared" si="84"/>
        <v>393.9</v>
      </c>
      <c r="F103" s="11">
        <v>400</v>
      </c>
      <c r="G103" s="11">
        <v>387.8</v>
      </c>
      <c r="H103" s="11">
        <v>401</v>
      </c>
      <c r="I103" s="11">
        <v>397</v>
      </c>
      <c r="J103" s="11">
        <v>391.1</v>
      </c>
      <c r="K103" s="309" t="str">
        <f t="shared" si="65"/>
        <v/>
      </c>
      <c r="L103" s="310"/>
      <c r="M103" s="55">
        <f t="shared" si="66"/>
        <v>7.1000000000000227</v>
      </c>
      <c r="N103" s="55">
        <f t="shared" si="85"/>
        <v>7.1000000000000227</v>
      </c>
      <c r="O103" s="55">
        <f t="shared" si="67"/>
        <v>9.5365858266429591</v>
      </c>
      <c r="P103" s="55">
        <f t="shared" si="68"/>
        <v>8.1406861043655052</v>
      </c>
      <c r="Q103" s="309" t="str">
        <f t="shared" si="69"/>
        <v/>
      </c>
      <c r="R103" s="100"/>
      <c r="S103" s="31" t="str">
        <f t="shared" si="70"/>
        <v>Exptal</v>
      </c>
      <c r="T103" s="31" t="str">
        <f t="shared" si="71"/>
        <v>Jordan</v>
      </c>
      <c r="U103" s="54">
        <f t="shared" si="72"/>
        <v>10.199999999999999</v>
      </c>
      <c r="V103" s="54">
        <f t="shared" si="86"/>
        <v>597.59771449582672</v>
      </c>
      <c r="W103" s="55">
        <f t="shared" si="73"/>
        <v>599.14645471079814</v>
      </c>
      <c r="X103" s="55">
        <f t="shared" si="74"/>
        <v>596.04897428085519</v>
      </c>
      <c r="Y103" s="55">
        <f t="shared" si="75"/>
        <v>599.39614273065695</v>
      </c>
      <c r="Z103" s="55">
        <f t="shared" si="76"/>
        <v>598.39362806871907</v>
      </c>
      <c r="AA103" s="55">
        <f t="shared" si="77"/>
        <v>596.89632817614688</v>
      </c>
      <c r="AB103" s="314" t="str">
        <f t="shared" si="78"/>
        <v/>
      </c>
      <c r="AC103" s="315"/>
      <c r="AD103" s="55">
        <f t="shared" si="79"/>
        <v>1.7984282348302258</v>
      </c>
      <c r="AE103" s="55">
        <f t="shared" si="87"/>
        <v>1.7984282348302258</v>
      </c>
      <c r="AF103" s="55">
        <f t="shared" si="80"/>
        <v>2.3386698124275265</v>
      </c>
      <c r="AG103" s="55">
        <f t="shared" si="81"/>
        <v>2.0494987594110992</v>
      </c>
      <c r="AH103" s="309" t="str">
        <f t="shared" si="82"/>
        <v/>
      </c>
      <c r="AI103" s="48"/>
      <c r="AJ103" s="34"/>
      <c r="AK103" s="34"/>
      <c r="AL103" s="19"/>
    </row>
    <row r="104" spans="1:38" x14ac:dyDescent="0.2">
      <c r="A104" s="402"/>
      <c r="B104" s="96" t="str">
        <f t="shared" si="88"/>
        <v>Exptal</v>
      </c>
      <c r="C104" s="348" t="str">
        <f t="shared" ref="C104" si="106">C71</f>
        <v>Kelly</v>
      </c>
      <c r="D104" s="11">
        <v>9.1999999999999993</v>
      </c>
      <c r="E104" s="54">
        <f t="shared" si="84"/>
        <v>406.70000000000005</v>
      </c>
      <c r="F104" s="11">
        <v>405.3</v>
      </c>
      <c r="G104" s="11">
        <v>408.1</v>
      </c>
      <c r="H104" s="11">
        <v>410.3</v>
      </c>
      <c r="I104" s="11">
        <v>406.5</v>
      </c>
      <c r="J104" s="11">
        <v>425.7</v>
      </c>
      <c r="K104" s="309" t="str">
        <f t="shared" si="65"/>
        <v/>
      </c>
      <c r="L104" s="310"/>
      <c r="M104" s="55">
        <f t="shared" si="66"/>
        <v>3.5999999999999659</v>
      </c>
      <c r="N104" s="55">
        <f t="shared" si="85"/>
        <v>3.5999999999999659</v>
      </c>
      <c r="O104" s="55">
        <f t="shared" ref="O104" si="107">M104-(E104-P$44)*C$113</f>
        <v>1.1366174714143544</v>
      </c>
      <c r="P104" s="55">
        <f t="shared" ref="P104" si="108">M104-(D104-O$44)*D$113</f>
        <v>2.6393666728933649</v>
      </c>
      <c r="Q104" s="309" t="str">
        <f t="shared" si="69"/>
        <v/>
      </c>
      <c r="R104" s="100"/>
      <c r="S104" s="31" t="str">
        <f t="shared" si="70"/>
        <v>Exptal</v>
      </c>
      <c r="T104" s="31" t="str">
        <f t="shared" si="71"/>
        <v>Kelly</v>
      </c>
      <c r="U104" s="54">
        <f t="shared" si="72"/>
        <v>9.1999999999999993</v>
      </c>
      <c r="V104" s="54">
        <f t="shared" si="86"/>
        <v>600.80698880230125</v>
      </c>
      <c r="W104" s="55">
        <f t="shared" si="73"/>
        <v>600.46275336342637</v>
      </c>
      <c r="X104" s="55">
        <f t="shared" si="74"/>
        <v>601.15122424117601</v>
      </c>
      <c r="Y104" s="55">
        <f t="shared" si="75"/>
        <v>601.68885994481411</v>
      </c>
      <c r="Z104" s="55">
        <f t="shared" si="76"/>
        <v>600.75839289878661</v>
      </c>
      <c r="AA104" s="55">
        <f t="shared" si="77"/>
        <v>605.37348728341067</v>
      </c>
      <c r="AB104" s="314" t="str">
        <f t="shared" ref="AB104" si="109">IF(SUMIFS(W$109:AA$109,W104:AA104,"#num!"),"Clear the #NUM! dependent value.",IF(SUMIFS(W$50:AA$50,W104:AA104,"",W$50:AA$50,"&gt;0")-SUMIFS(W$50:AA$50,W104:AA104,"",W$50:AA$50,"&lt;0"),"Now clear the custom effect.",""))</f>
        <v/>
      </c>
      <c r="AC104" s="316"/>
      <c r="AD104" s="55">
        <f t="shared" si="79"/>
        <v>0.88187114251286403</v>
      </c>
      <c r="AE104" s="55">
        <f t="shared" si="87"/>
        <v>0.88187114251286403</v>
      </c>
      <c r="AF104" s="55">
        <f t="shared" ref="AF104" si="110">AD104-(V104-AG$44)*T$113</f>
        <v>0.34013867041018564</v>
      </c>
      <c r="AG104" s="55">
        <f t="shared" ref="AG104" si="111">AD104-(U104-AF$44)*U$113</f>
        <v>0.65011373520744209</v>
      </c>
      <c r="AH104" s="309" t="str">
        <f t="shared" si="82"/>
        <v/>
      </c>
      <c r="AI104" s="48"/>
      <c r="AJ104" s="34"/>
      <c r="AK104" s="34"/>
      <c r="AL104" s="19"/>
    </row>
    <row r="105" spans="1:38" x14ac:dyDescent="0.2">
      <c r="A105" s="402"/>
      <c r="B105" s="102"/>
      <c r="C105" s="103" t="s">
        <v>1</v>
      </c>
      <c r="D105" s="83">
        <f t="shared" ref="D105:J105" si="112">AVERAGE(D85:D104)</f>
        <v>9.59</v>
      </c>
      <c r="E105" s="83">
        <f t="shared" si="112"/>
        <v>399.14499999999992</v>
      </c>
      <c r="F105" s="83">
        <f t="shared" si="112"/>
        <v>400.01</v>
      </c>
      <c r="G105" s="83">
        <f t="shared" si="112"/>
        <v>398.28000000000009</v>
      </c>
      <c r="H105" s="83">
        <f t="shared" si="112"/>
        <v>409.80999999999995</v>
      </c>
      <c r="I105" s="83">
        <f t="shared" si="112"/>
        <v>405.69500000000005</v>
      </c>
      <c r="J105" s="83">
        <f t="shared" si="112"/>
        <v>404.29499999999996</v>
      </c>
      <c r="K105" s="104"/>
      <c r="L105" s="115" t="s">
        <v>151</v>
      </c>
      <c r="M105" s="83">
        <f>IF(ISNUMBER(M$47),SLOPE(M85:M104,D85:D104)*IF(M$47=-1,D105,M$47),IF(ISNUMBER(M$44),FORECAST(M$44,M85:M104,D85:D104),AVERAGE(M85:M104)))</f>
        <v>10.66500000000001</v>
      </c>
      <c r="N105" s="83">
        <f>IF(ISNUMBER(N$47),SLOPE(N85:N104,E85:E104)*IF(N$47=-1,E105,N$47),IF(ISNUMBER(N$44),FORECAST(N$44,N85:N104,E85:E104),AVERAGE(N85:N104)))</f>
        <v>10.66500000000001</v>
      </c>
      <c r="O105" s="83">
        <f>IF(ISNUMBER(O$47),D113*IF(O$47=-1,D105,O$47),E113+O$44*D113+P$44*C113)</f>
        <v>10.913628482250061</v>
      </c>
      <c r="P105" s="84">
        <f>IF(ISNUMBER(P$47),C113*IF(P$47=-1,E105,P$47),E113+O$44*D113+P$44*C113)</f>
        <v>10.913628482250061</v>
      </c>
      <c r="Q105" s="19" t="s">
        <v>114</v>
      </c>
      <c r="R105" s="100"/>
      <c r="S105" s="102"/>
      <c r="T105" s="103" t="s">
        <v>1</v>
      </c>
      <c r="U105" s="83">
        <f t="shared" ref="U105:AA105" si="113">AVERAGE(U85:U104)</f>
        <v>9.59</v>
      </c>
      <c r="V105" s="83">
        <f t="shared" si="113"/>
        <v>598.92169391449784</v>
      </c>
      <c r="W105" s="105">
        <f t="shared" si="113"/>
        <v>599.13907105348767</v>
      </c>
      <c r="X105" s="105">
        <f t="shared" si="113"/>
        <v>598.70431677550755</v>
      </c>
      <c r="Y105" s="105">
        <f t="shared" si="113"/>
        <v>601.54017308393895</v>
      </c>
      <c r="Z105" s="105">
        <f t="shared" si="113"/>
        <v>600.51605358014365</v>
      </c>
      <c r="AA105" s="105">
        <f t="shared" si="113"/>
        <v>600.17610503077049</v>
      </c>
      <c r="AB105" s="105"/>
      <c r="AC105" s="115" t="s">
        <v>176</v>
      </c>
      <c r="AD105" s="106">
        <f>IF(ISNUMBER(AD$47),SLOPE(AD85:AD104,U85:U104)*IF(AD$47=-1,U105,AD$47),IF(ISNUMBER(AD$44),FORECAST(AD$44,AD85:AD104,U85:U104),AVERAGE(AD85:AD104)))</f>
        <v>2.6184791694412639</v>
      </c>
      <c r="AE105" s="106">
        <f>IF(ISNUMBER(AE$47),SLOPE(AE85:AE104,V85:V104)*IF(AE$47=-1,V105,AE$47),IF(ISNUMBER(AE$44),FORECAST(AE$44,AE85:AE104,V85:V104),AVERAGE(AE85:AE104)))</f>
        <v>2.6184791694412639</v>
      </c>
      <c r="AF105" s="106">
        <f>IF(ISNUMBER(AF$47),U113*IF(AF$47=-1,U105,AF$47),V113+AF$44*U113+AG$44*T113)</f>
        <v>2.668900096609832</v>
      </c>
      <c r="AG105" s="106">
        <f>IF(ISNUMBER(AG$47),T113*IF(AG$47=-1,V105,AG$47),V113+AF$44*U113+AG$44*T113)</f>
        <v>2.668900096609832</v>
      </c>
      <c r="AH105" s="37" t="s">
        <v>114</v>
      </c>
      <c r="AI105" s="107"/>
      <c r="AJ105" s="34"/>
      <c r="AK105" s="34"/>
      <c r="AL105" s="19"/>
    </row>
    <row r="106" spans="1:38" x14ac:dyDescent="0.2">
      <c r="A106" s="402"/>
      <c r="B106" s="108"/>
      <c r="C106" s="109" t="s">
        <v>2</v>
      </c>
      <c r="D106" s="85">
        <f t="shared" ref="D106:J106" si="114">STDEV(D85:D104)</f>
        <v>2.1951861208706611</v>
      </c>
      <c r="E106" s="85">
        <f t="shared" si="114"/>
        <v>4.6763374107251332</v>
      </c>
      <c r="F106" s="85">
        <f t="shared" si="114"/>
        <v>5.7548972280365804</v>
      </c>
      <c r="G106" s="85">
        <f t="shared" si="114"/>
        <v>6.1245493926621117</v>
      </c>
      <c r="H106" s="85">
        <f t="shared" si="114"/>
        <v>10.202368146144984</v>
      </c>
      <c r="I106" s="85">
        <f t="shared" si="114"/>
        <v>12.49136438546752</v>
      </c>
      <c r="J106" s="85">
        <f t="shared" si="114"/>
        <v>11.450877925432525</v>
      </c>
      <c r="K106" s="110"/>
      <c r="L106" s="111" t="s">
        <v>152</v>
      </c>
      <c r="M106" s="86">
        <f>IF(OR(ISNUMBER(M$47),ISNUMBER(M$44)),STEYX(M85:M104,D85:D104),STDEV(M85:M104))</f>
        <v>8.5332183723067647</v>
      </c>
      <c r="N106" s="86">
        <f>IF(OR(ISNUMBER(N$47),ISNUMBER(N$44)),STEYX(N85:N104,E85:E104),STDEV(N85:N104))</f>
        <v>8.5332183723067647</v>
      </c>
      <c r="O106" s="86">
        <f>D115</f>
        <v>7.7051224514436782</v>
      </c>
      <c r="P106" s="87">
        <f>D115</f>
        <v>7.7051224514436782</v>
      </c>
      <c r="Q106" s="19" t="s">
        <v>115</v>
      </c>
      <c r="R106" s="100"/>
      <c r="S106" s="108"/>
      <c r="T106" s="109" t="s">
        <v>2</v>
      </c>
      <c r="U106" s="85">
        <f t="shared" ref="U106:AA106" si="115">STDEV(U85:U104)</f>
        <v>2.1951861208706611</v>
      </c>
      <c r="V106" s="85">
        <f t="shared" si="115"/>
        <v>1.1710167035832491</v>
      </c>
      <c r="W106" s="55">
        <f t="shared" si="115"/>
        <v>1.444409414133301</v>
      </c>
      <c r="X106" s="55">
        <f t="shared" si="115"/>
        <v>1.5355634735146153</v>
      </c>
      <c r="Y106" s="55">
        <f t="shared" si="115"/>
        <v>2.4737636708149284</v>
      </c>
      <c r="Z106" s="55">
        <f t="shared" si="115"/>
        <v>3.0318861005612789</v>
      </c>
      <c r="AA106" s="55">
        <f t="shared" si="115"/>
        <v>2.8476622437337231</v>
      </c>
      <c r="AB106" s="55"/>
      <c r="AC106" s="112" t="s">
        <v>157</v>
      </c>
      <c r="AD106" s="113">
        <f>IF(OR(ISNUMBER(AD$47),ISNUMBER(AD$44)),STEYX(AD85:AD104,U85:U104),STDEV(AD85:AD104))</f>
        <v>2.0650114429162532</v>
      </c>
      <c r="AE106" s="113">
        <f>IF(OR(ISNUMBER(AE$47),ISNUMBER(AE$44)),STEYX(AE85:AE104,V85:V104),STDEV(AE85:AE104))</f>
        <v>2.0650114429162532</v>
      </c>
      <c r="AF106" s="113">
        <f>U115</f>
        <v>1.8714305352598843</v>
      </c>
      <c r="AG106" s="113">
        <f>U115</f>
        <v>1.8714305352598843</v>
      </c>
      <c r="AH106" s="37" t="s">
        <v>115</v>
      </c>
      <c r="AI106" s="107"/>
      <c r="AJ106" s="34"/>
      <c r="AK106" s="34"/>
      <c r="AL106" s="19"/>
    </row>
    <row r="107" spans="1:38" x14ac:dyDescent="0.2">
      <c r="A107" s="402"/>
      <c r="B107" s="108"/>
      <c r="C107" s="165" t="s">
        <v>38</v>
      </c>
      <c r="D107" s="166">
        <f t="shared" ref="D107:J107" si="116">D106/SQRT(D109)</f>
        <v>0.49085853895308679</v>
      </c>
      <c r="E107" s="166">
        <f t="shared" si="116"/>
        <v>1.0456608336106752</v>
      </c>
      <c r="F107" s="166">
        <f t="shared" si="116"/>
        <v>1.2868341405414903</v>
      </c>
      <c r="G107" s="166">
        <f t="shared" si="116"/>
        <v>1.3694908773547534</v>
      </c>
      <c r="H107" s="166">
        <f t="shared" si="116"/>
        <v>2.2813188706258694</v>
      </c>
      <c r="I107" s="166">
        <f t="shared" si="116"/>
        <v>2.7931539897625259</v>
      </c>
      <c r="J107" s="166">
        <f t="shared" si="116"/>
        <v>2.5604941443318894</v>
      </c>
      <c r="K107" s="17"/>
      <c r="L107" s="256" t="s">
        <v>159</v>
      </c>
      <c r="M107" s="257">
        <f>IF(ISNUMBER(M$47),IF(M$47=-1,D105,ABS(M$47))*STEYX(M85:M104,D85:D104)/(SQRT(COUNT(M85:M104)-1))/D106,IF(ISNUMBER(M$44),M106*SQRT(1/COUNT(M85:M104)+1/(COUNT(M85:M104)-1)*(M$44-D105)^2/D106^2),M106/SQRT(COUNT(M85:M104))))</f>
        <v>1.9080856347328035</v>
      </c>
      <c r="N107" s="257">
        <f>IF(ISNUMBER(N$47),IF(N$47=-1,E105,ABS(N$47))*STEYX(N85:N104,E85:E104)/(SQRT(COUNT(N85:N104)-1))/E106,IF(ISNUMBER(N$44),N106*SQRT(1/COUNT(N85:N104)+1/(COUNT(N85:N104)-1)*(N$44-E105)^2/E106^2),N106/SQRT(COUNT(N85:N104))))</f>
        <v>1.9080856347328035</v>
      </c>
      <c r="O107" s="257">
        <f>IF(ISNUMBER(O$47),IF(O$47=-1,D105,ABS(O$47))*D114,F115)</f>
        <v>1.77417408395474</v>
      </c>
      <c r="P107" s="257">
        <f>IF(ISNUMBER(P$47),IF(P$47=-1,E105,ABS(P$47))*C114,F115)</f>
        <v>1.77417408395474</v>
      </c>
      <c r="Q107" s="19"/>
      <c r="R107" s="100"/>
      <c r="S107" s="108"/>
      <c r="T107" s="165" t="s">
        <v>38</v>
      </c>
      <c r="U107" s="166">
        <f t="shared" ref="U107:AA107" si="117">U106/SQRT(COUNT(U85:U104))</f>
        <v>0.49085853895308679</v>
      </c>
      <c r="V107" s="166">
        <f t="shared" si="117"/>
        <v>0.26184729519998662</v>
      </c>
      <c r="W107" s="166">
        <f t="shared" si="117"/>
        <v>0.32297976373427062</v>
      </c>
      <c r="X107" s="166">
        <f t="shared" si="117"/>
        <v>0.34336243105443776</v>
      </c>
      <c r="Y107" s="166">
        <f t="shared" si="117"/>
        <v>0.5531503728211592</v>
      </c>
      <c r="Z107" s="166">
        <f t="shared" si="117"/>
        <v>0.67795034208917826</v>
      </c>
      <c r="AA107" s="166">
        <f t="shared" si="117"/>
        <v>0.63675663539481786</v>
      </c>
      <c r="AB107" s="55"/>
      <c r="AC107" s="255" t="s">
        <v>158</v>
      </c>
      <c r="AD107" s="257">
        <f>IF(ISNUMBER(AD$47),IF(AD$47=-1,U105,ABS(AD$47))*STEYX(AD85:AD104,U85:U104)/(SQRT(COUNT(AD85:AD104)-1))/U106,IF(ISNUMBER(AD$44),AD106*SQRT(1/COUNT(AD85:AD104)+1/(COUNT(AD85:AD104)-1)*(AD$44-U105)^2/U106^2),AD106/SQRT(COUNT(AD85:AD104))))</f>
        <v>0.46175059606756685</v>
      </c>
      <c r="AE107" s="257">
        <f>IF(ISNUMBER(AE$47),IF(AE$47=-1,V105,ABS(AE$47))*STEYX(AE85:AE104,V85:V104)/(SQRT(COUNT(AE85:AE104)-1))/V106,IF(ISNUMBER(AE$44),AE106*SQRT(1/COUNT(AE85:AE104)+1/(COUNT(AE85:AE104)-1)*(AE$44-V105)^2/V106^2),AE106/SQRT(COUNT(AE85:AE104))))</f>
        <v>0.46175059606756685</v>
      </c>
      <c r="AF107" s="257">
        <f>IF(ISNUMBER(AF$47),IF(AF$47=-1,U105,ABS(AF$47))*U114,W115)</f>
        <v>0.43073762969888779</v>
      </c>
      <c r="AG107" s="257">
        <f>IF(ISNUMBER(AG$47),IF(AG$47=-1,V105,ABS(AG$47))*T114,W115)</f>
        <v>0.43073762969888779</v>
      </c>
      <c r="AH107" s="37"/>
      <c r="AI107" s="107"/>
      <c r="AJ107" s="34"/>
      <c r="AK107" s="34"/>
      <c r="AL107" s="19"/>
    </row>
    <row r="108" spans="1:38" x14ac:dyDescent="0.2">
      <c r="A108" s="402"/>
      <c r="B108" s="108"/>
      <c r="C108" s="165" t="s">
        <v>40</v>
      </c>
      <c r="D108" s="167">
        <f t="shared" ref="D108:J108" si="118">D109-1</f>
        <v>19</v>
      </c>
      <c r="E108" s="167">
        <f t="shared" si="118"/>
        <v>19</v>
      </c>
      <c r="F108" s="167">
        <f t="shared" si="118"/>
        <v>19</v>
      </c>
      <c r="G108" s="167">
        <f t="shared" si="118"/>
        <v>19</v>
      </c>
      <c r="H108" s="167">
        <f t="shared" si="118"/>
        <v>19</v>
      </c>
      <c r="I108" s="167">
        <f t="shared" si="118"/>
        <v>19</v>
      </c>
      <c r="J108" s="167">
        <f t="shared" si="118"/>
        <v>19</v>
      </c>
      <c r="K108" s="17"/>
      <c r="L108" s="256" t="s">
        <v>62</v>
      </c>
      <c r="M108" s="258">
        <f>IF(OR(ISNUMBER(M$47),ISNUMBER(M$44)),COUNT(M85:M104)-2,COUNT(M85:M104)-1)</f>
        <v>19</v>
      </c>
      <c r="N108" s="258">
        <f>IF(OR(ISNUMBER(N$47),ISNUMBER(N$44)),COUNT(N85:N104)-2,COUNT(N85:N104)-1)</f>
        <v>19</v>
      </c>
      <c r="O108" s="258">
        <f>COUNT(O85:O104)-3</f>
        <v>17</v>
      </c>
      <c r="P108" s="258">
        <f>COUNT(P85:P104)-3</f>
        <v>17</v>
      </c>
      <c r="Q108" s="19"/>
      <c r="R108" s="100"/>
      <c r="S108" s="108"/>
      <c r="T108" s="165" t="s">
        <v>40</v>
      </c>
      <c r="U108" s="167">
        <f t="shared" ref="U108:AA108" si="119">COUNT(U85:U104)-1</f>
        <v>19</v>
      </c>
      <c r="V108" s="167">
        <f t="shared" si="119"/>
        <v>19</v>
      </c>
      <c r="W108" s="167">
        <f t="shared" si="119"/>
        <v>19</v>
      </c>
      <c r="X108" s="167">
        <f t="shared" si="119"/>
        <v>19</v>
      </c>
      <c r="Y108" s="167">
        <f t="shared" si="119"/>
        <v>19</v>
      </c>
      <c r="Z108" s="167">
        <f t="shared" si="119"/>
        <v>19</v>
      </c>
      <c r="AA108" s="167">
        <f t="shared" si="119"/>
        <v>19</v>
      </c>
      <c r="AB108" s="55"/>
      <c r="AC108" s="256" t="s">
        <v>62</v>
      </c>
      <c r="AD108" s="258">
        <f>IF(OR(ISNUMBER(AD$47),ISNUMBER(AD$44)),COUNT(AD85:AD104)-2,COUNT(AD85:AD104)-1)</f>
        <v>19</v>
      </c>
      <c r="AE108" s="258">
        <f>IF(OR(ISNUMBER(AE$47),ISNUMBER(AE$44)),COUNT(AE85:AE104)-2,COUNT(AE85:AE104)-1)</f>
        <v>19</v>
      </c>
      <c r="AF108" s="258">
        <f>COUNT(AF85:AF104)-3</f>
        <v>17</v>
      </c>
      <c r="AG108" s="258">
        <f>COUNT(AG85:AG104)-3</f>
        <v>17</v>
      </c>
      <c r="AH108" s="37"/>
      <c r="AI108" s="107"/>
      <c r="AJ108" s="34"/>
      <c r="AK108" s="34"/>
      <c r="AL108" s="19"/>
    </row>
    <row r="109" spans="1:38" x14ac:dyDescent="0.2">
      <c r="A109" s="402"/>
      <c r="B109" s="108"/>
      <c r="C109" s="109" t="s">
        <v>28</v>
      </c>
      <c r="D109" s="88">
        <f t="shared" ref="D109:J109" si="120">COUNT(D85:D104)</f>
        <v>20</v>
      </c>
      <c r="E109" s="88">
        <f t="shared" si="120"/>
        <v>20</v>
      </c>
      <c r="F109" s="88">
        <f t="shared" si="120"/>
        <v>20</v>
      </c>
      <c r="G109" s="88">
        <f t="shared" si="120"/>
        <v>20</v>
      </c>
      <c r="H109" s="88">
        <f t="shared" si="120"/>
        <v>20</v>
      </c>
      <c r="I109" s="88">
        <f t="shared" si="120"/>
        <v>20</v>
      </c>
      <c r="J109" s="88">
        <f t="shared" si="120"/>
        <v>20</v>
      </c>
      <c r="K109" s="104"/>
      <c r="L109" s="103" t="s">
        <v>153</v>
      </c>
      <c r="M109" s="83">
        <f t="shared" ref="M109:P110" si="121">M105/$F$133</f>
        <v>1.6367895465362543</v>
      </c>
      <c r="N109" s="83">
        <f t="shared" si="121"/>
        <v>1.6367895465362543</v>
      </c>
      <c r="O109" s="83">
        <f t="shared" si="121"/>
        <v>1.6749473056284305</v>
      </c>
      <c r="P109" s="84">
        <f t="shared" si="121"/>
        <v>1.6749473056284305</v>
      </c>
      <c r="Q109" s="19" t="str">
        <f>"  Graph of custom effect vs "&amp;D51</f>
        <v xml:space="preserve">  Graph of custom effect vs X1</v>
      </c>
      <c r="R109" s="100"/>
      <c r="S109" s="108"/>
      <c r="T109" s="109" t="s">
        <v>28</v>
      </c>
      <c r="U109" s="88">
        <f t="shared" ref="U109:AA109" si="122">COUNT(U85:U104)</f>
        <v>20</v>
      </c>
      <c r="V109" s="88">
        <f t="shared" si="122"/>
        <v>20</v>
      </c>
      <c r="W109" s="88">
        <f t="shared" si="122"/>
        <v>20</v>
      </c>
      <c r="X109" s="88">
        <f t="shared" si="122"/>
        <v>20</v>
      </c>
      <c r="Y109" s="88">
        <f t="shared" si="122"/>
        <v>20</v>
      </c>
      <c r="Z109" s="88">
        <f t="shared" si="122"/>
        <v>20</v>
      </c>
      <c r="AA109" s="88">
        <f t="shared" si="122"/>
        <v>20</v>
      </c>
      <c r="AB109" s="114"/>
      <c r="AC109" s="115" t="s">
        <v>155</v>
      </c>
      <c r="AD109" s="89">
        <f t="shared" ref="AD109:AG110" si="123">100*EXP(AD105/100)-100</f>
        <v>2.6530625281165214</v>
      </c>
      <c r="AE109" s="89">
        <f t="shared" si="123"/>
        <v>2.6530625281165214</v>
      </c>
      <c r="AF109" s="89">
        <f t="shared" si="123"/>
        <v>2.7048342047930163</v>
      </c>
      <c r="AG109" s="90">
        <f t="shared" si="123"/>
        <v>2.7048342047930163</v>
      </c>
      <c r="AH109" s="19" t="str">
        <f>"  Graph of custom effect vs "&amp;D51</f>
        <v xml:space="preserve">  Graph of custom effect vs X1</v>
      </c>
      <c r="AI109" s="107"/>
      <c r="AJ109" s="34"/>
      <c r="AK109" s="34"/>
      <c r="AL109" s="19"/>
    </row>
    <row r="110" spans="1:38" x14ac:dyDescent="0.2">
      <c r="A110" s="402"/>
      <c r="B110" s="108"/>
      <c r="C110" s="109"/>
      <c r="D110" s="109"/>
      <c r="E110" s="109"/>
      <c r="F110" s="17"/>
      <c r="G110" s="17"/>
      <c r="H110" s="17"/>
      <c r="I110" s="17"/>
      <c r="J110" s="17"/>
      <c r="K110" s="110"/>
      <c r="L110" s="111" t="s">
        <v>154</v>
      </c>
      <c r="M110" s="86">
        <f t="shared" si="121"/>
        <v>1.3096186244822139</v>
      </c>
      <c r="N110" s="86">
        <f t="shared" si="121"/>
        <v>1.3096186244822139</v>
      </c>
      <c r="O110" s="86">
        <f t="shared" si="121"/>
        <v>1.1825282591003095</v>
      </c>
      <c r="P110" s="87">
        <f t="shared" si="121"/>
        <v>1.1825282591003095</v>
      </c>
      <c r="Q110" s="19" t="str">
        <f>IF(ISTEXT(E51),"  not adjusted for "&amp;E51,"")</f>
        <v xml:space="preserve">  not adjusted for X2</v>
      </c>
      <c r="R110" s="100"/>
      <c r="S110" s="108"/>
      <c r="T110" s="392" t="s">
        <v>5</v>
      </c>
      <c r="U110" s="91" t="str">
        <f>IF(U105=D105,"",EXP(U105/100))</f>
        <v/>
      </c>
      <c r="V110" s="91">
        <f>IF(V105=E105,"",EXP(V105/100))</f>
        <v>399.10196640657921</v>
      </c>
      <c r="W110" s="91">
        <f t="shared" ref="W110:AA110" si="124">EXP(W105/100)</f>
        <v>399.97046646109879</v>
      </c>
      <c r="X110" s="91">
        <f t="shared" si="124"/>
        <v>398.23535222216032</v>
      </c>
      <c r="Y110" s="91">
        <f t="shared" si="124"/>
        <v>409.69039112628769</v>
      </c>
      <c r="Z110" s="91">
        <f t="shared" si="124"/>
        <v>405.51608335968922</v>
      </c>
      <c r="AA110" s="91">
        <f t="shared" si="124"/>
        <v>404.13987783753089</v>
      </c>
      <c r="AB110" s="116"/>
      <c r="AC110" s="111" t="s">
        <v>56</v>
      </c>
      <c r="AD110" s="92">
        <f t="shared" si="123"/>
        <v>2.0864803278707029</v>
      </c>
      <c r="AE110" s="92">
        <f t="shared" si="123"/>
        <v>2.0864803278707029</v>
      </c>
      <c r="AF110" s="92">
        <f t="shared" si="123"/>
        <v>1.8890515465240298</v>
      </c>
      <c r="AG110" s="93">
        <f t="shared" si="123"/>
        <v>1.8890515465240298</v>
      </c>
      <c r="AH110" s="19" t="str">
        <f>IF(ISTEXT(E51),"  not adjusted for "&amp;E51,"")</f>
        <v xml:space="preserve">  not adjusted for X2</v>
      </c>
      <c r="AI110" s="107"/>
      <c r="AJ110" s="34"/>
      <c r="AK110" s="34"/>
      <c r="AL110" s="19"/>
    </row>
    <row r="111" spans="1:38" ht="15" customHeight="1" x14ac:dyDescent="0.2">
      <c r="A111" s="402"/>
      <c r="B111" s="108"/>
      <c r="C111" s="19"/>
      <c r="D111" s="529" t="str">
        <f>IF(COUNTA(C85:C104)=COUNTA(C52:C71),"","Error: count and order of subjects must match in the treatments!")</f>
        <v/>
      </c>
      <c r="E111" s="19"/>
      <c r="F111" s="19"/>
      <c r="G111" s="17"/>
      <c r="H111" s="17"/>
      <c r="I111" s="17"/>
      <c r="J111" s="17"/>
      <c r="K111" s="17"/>
      <c r="L111" s="17"/>
      <c r="M111" s="17"/>
      <c r="N111" s="17"/>
      <c r="O111" s="17"/>
      <c r="P111" s="17"/>
      <c r="Q111" s="19"/>
      <c r="R111" s="100"/>
      <c r="S111" s="108"/>
      <c r="T111" s="109" t="s">
        <v>6</v>
      </c>
      <c r="U111" s="91" t="str">
        <f>IF(U105=D105,"",100*EXP(U106/100)-100)</f>
        <v/>
      </c>
      <c r="V111" s="91">
        <f>IF(V105=E105,"",100*EXP(V106/100)-100)</f>
        <v>1.1778999459166215</v>
      </c>
      <c r="W111" s="91">
        <f t="shared" ref="W111:AA111" si="125">100*EXP(W106/100)-100</f>
        <v>1.4548914137696016</v>
      </c>
      <c r="X111" s="91">
        <f t="shared" si="125"/>
        <v>1.5474138282960439</v>
      </c>
      <c r="Y111" s="91">
        <f t="shared" si="125"/>
        <v>2.5046150759663135</v>
      </c>
      <c r="Z111" s="91">
        <f t="shared" si="125"/>
        <v>3.0783158112382125</v>
      </c>
      <c r="AA111" s="91">
        <f t="shared" si="125"/>
        <v>2.8885957707424126</v>
      </c>
      <c r="AB111" s="104"/>
      <c r="AC111" s="103" t="s">
        <v>156</v>
      </c>
      <c r="AD111" s="259">
        <f t="shared" ref="AD111:AG112" si="126">EXP(AD105/100)</f>
        <v>1.0265306252811652</v>
      </c>
      <c r="AE111" s="259">
        <f t="shared" si="126"/>
        <v>1.0265306252811652</v>
      </c>
      <c r="AF111" s="259">
        <f t="shared" si="126"/>
        <v>1.0270483420479302</v>
      </c>
      <c r="AG111" s="260">
        <f t="shared" si="126"/>
        <v>1.0270483420479302</v>
      </c>
      <c r="AH111" s="19"/>
      <c r="AI111" s="107"/>
      <c r="AJ111" s="34"/>
      <c r="AK111" s="34"/>
      <c r="AL111" s="19"/>
    </row>
    <row r="112" spans="1:38" x14ac:dyDescent="0.2">
      <c r="A112" s="402"/>
      <c r="B112" s="118"/>
      <c r="C112" s="19"/>
      <c r="D112" s="19"/>
      <c r="E112" s="19"/>
      <c r="F112" s="19"/>
      <c r="G112" s="17"/>
      <c r="H112" s="17"/>
      <c r="I112" s="17"/>
      <c r="J112" s="17"/>
      <c r="K112" s="17"/>
      <c r="L112" s="17"/>
      <c r="M112" s="17"/>
      <c r="N112" s="17"/>
      <c r="O112" s="17"/>
      <c r="P112" s="17"/>
      <c r="Q112" s="19"/>
      <c r="R112" s="100"/>
      <c r="S112" s="108"/>
      <c r="T112" s="109" t="s">
        <v>7</v>
      </c>
      <c r="U112" s="85" t="str">
        <f>IF(U105=D105,"",EXP(U106/100))</f>
        <v/>
      </c>
      <c r="V112" s="85">
        <f>IF(V105=E105,"",EXP(V106/100))</f>
        <v>1.0117789994591662</v>
      </c>
      <c r="W112" s="85">
        <f t="shared" ref="W112:AA112" si="127">EXP(W106/100)</f>
        <v>1.014548914137696</v>
      </c>
      <c r="X112" s="85">
        <f t="shared" si="127"/>
        <v>1.0154741382829604</v>
      </c>
      <c r="Y112" s="85">
        <f t="shared" si="127"/>
        <v>1.0250461507596631</v>
      </c>
      <c r="Z112" s="85">
        <f t="shared" si="127"/>
        <v>1.0307831581123821</v>
      </c>
      <c r="AA112" s="85">
        <f t="shared" si="127"/>
        <v>1.0288859577074241</v>
      </c>
      <c r="AB112" s="110"/>
      <c r="AC112" s="111" t="s">
        <v>57</v>
      </c>
      <c r="AD112" s="86">
        <f t="shared" si="126"/>
        <v>1.0208648032787071</v>
      </c>
      <c r="AE112" s="86">
        <f t="shared" si="126"/>
        <v>1.0208648032787071</v>
      </c>
      <c r="AF112" s="86">
        <f t="shared" si="126"/>
        <v>1.0188905154652403</v>
      </c>
      <c r="AG112" s="87">
        <f t="shared" si="126"/>
        <v>1.0188905154652403</v>
      </c>
      <c r="AH112" s="19"/>
      <c r="AI112" s="107"/>
      <c r="AJ112" s="34"/>
      <c r="AK112" s="34"/>
      <c r="AL112" s="19"/>
    </row>
    <row r="113" spans="1:38" x14ac:dyDescent="0.2">
      <c r="A113" s="402"/>
      <c r="B113" s="261" t="s">
        <v>109</v>
      </c>
      <c r="C113" s="262">
        <f t="array" ref="C113:E115">LINEST(M85:M104,D85:E104,1,1)</f>
        <v>0.38281002775222828</v>
      </c>
      <c r="D113" s="262">
        <v>-2.0013194314720835</v>
      </c>
      <c r="E113" s="263">
        <v>-122.93905517934584</v>
      </c>
      <c r="F113" s="264"/>
      <c r="G113" s="17"/>
      <c r="H113" s="17"/>
      <c r="I113" s="17"/>
      <c r="J113" s="17"/>
      <c r="K113" s="17"/>
      <c r="L113" s="17"/>
      <c r="M113" s="17"/>
      <c r="N113" s="17"/>
      <c r="O113" s="17"/>
      <c r="P113" s="17"/>
      <c r="Q113" s="19"/>
      <c r="R113" s="100"/>
      <c r="S113" s="261" t="s">
        <v>109</v>
      </c>
      <c r="T113" s="262">
        <f t="array" ref="T113:V115">LINEST(AD85:AD104,U85:V104,1,1)</f>
        <v>0.33713978500284575</v>
      </c>
      <c r="U113" s="262">
        <v>-0.48282793188629525</v>
      </c>
      <c r="V113" s="273">
        <v>-194.67153208364317</v>
      </c>
      <c r="W113" s="274"/>
      <c r="X113" s="119"/>
      <c r="Y113" s="119"/>
      <c r="Z113" s="119"/>
      <c r="AA113" s="119"/>
      <c r="AB113" s="104"/>
      <c r="AC113" s="103" t="s">
        <v>153</v>
      </c>
      <c r="AD113" s="83">
        <f t="shared" ref="AD113:AG114" si="128">AD105/$W$133</f>
        <v>1.6124949896066147</v>
      </c>
      <c r="AE113" s="83">
        <f t="shared" si="128"/>
        <v>1.6124949896066147</v>
      </c>
      <c r="AF113" s="83">
        <f t="shared" si="128"/>
        <v>1.6435448804667299</v>
      </c>
      <c r="AG113" s="84">
        <f t="shared" si="128"/>
        <v>1.6435448804667299</v>
      </c>
      <c r="AH113" s="19"/>
      <c r="AI113" s="107"/>
      <c r="AJ113" s="34"/>
      <c r="AK113" s="34"/>
      <c r="AL113" s="19"/>
    </row>
    <row r="114" spans="1:38" x14ac:dyDescent="0.2">
      <c r="A114" s="402"/>
      <c r="B114" s="265" t="s">
        <v>110</v>
      </c>
      <c r="C114" s="266">
        <v>0.38418114329195741</v>
      </c>
      <c r="D114" s="266">
        <v>0.8184092618801635</v>
      </c>
      <c r="E114" s="267">
        <v>152.14813166783367</v>
      </c>
      <c r="F114" s="268" t="s">
        <v>111</v>
      </c>
      <c r="G114" s="17"/>
      <c r="H114" s="17"/>
      <c r="I114" s="17"/>
      <c r="J114" s="17"/>
      <c r="K114" s="17"/>
      <c r="L114" s="17"/>
      <c r="M114" s="17"/>
      <c r="N114" s="17"/>
      <c r="O114" s="17"/>
      <c r="P114" s="17"/>
      <c r="Q114" s="19"/>
      <c r="R114" s="100"/>
      <c r="S114" s="265" t="s">
        <v>110</v>
      </c>
      <c r="T114" s="266">
        <v>0.37255240056533401</v>
      </c>
      <c r="U114" s="266">
        <v>0.19873717306895697</v>
      </c>
      <c r="V114" s="266">
        <v>222.79966057651504</v>
      </c>
      <c r="W114" s="275" t="s">
        <v>111</v>
      </c>
      <c r="X114" s="119"/>
      <c r="Y114" s="119"/>
      <c r="Z114" s="119"/>
      <c r="AA114" s="119"/>
      <c r="AB114" s="110"/>
      <c r="AC114" s="111" t="s">
        <v>154</v>
      </c>
      <c r="AD114" s="86">
        <f t="shared" si="128"/>
        <v>1.2716620563734742</v>
      </c>
      <c r="AE114" s="86">
        <f t="shared" si="128"/>
        <v>1.2716620563734742</v>
      </c>
      <c r="AF114" s="86">
        <f t="shared" si="128"/>
        <v>1.1524523077062727</v>
      </c>
      <c r="AG114" s="87">
        <f t="shared" si="128"/>
        <v>1.1524523077062727</v>
      </c>
      <c r="AH114" s="19"/>
      <c r="AI114" s="107"/>
      <c r="AJ114" s="34"/>
      <c r="AK114" s="34"/>
      <c r="AL114" s="19"/>
    </row>
    <row r="115" spans="1:38" s="1" customFormat="1" x14ac:dyDescent="0.2">
      <c r="A115" s="402"/>
      <c r="B115" s="269"/>
      <c r="C115" s="270">
        <v>0.27049429771828465</v>
      </c>
      <c r="D115" s="270">
        <v>7.7051224514436782</v>
      </c>
      <c r="E115" s="271" t="e">
        <v>#N/A</v>
      </c>
      <c r="F115" s="272">
        <f>SQRT(D115^2/F109+(O44-D105)^2*D114^2 +(P44-E105)^2*C114^2-2*CORREL(D85:D104,E85:E104)*(O44-D105)*D114 *(P44-E105)*C114)</f>
        <v>1.77417408395474</v>
      </c>
      <c r="G115" s="17"/>
      <c r="H115" s="17"/>
      <c r="I115" s="17"/>
      <c r="J115" s="17"/>
      <c r="K115" s="51"/>
      <c r="L115" s="121"/>
      <c r="M115" s="121"/>
      <c r="N115" s="121"/>
      <c r="O115" s="121"/>
      <c r="P115" s="121"/>
      <c r="Q115" s="19"/>
      <c r="R115" s="100"/>
      <c r="S115" s="269"/>
      <c r="T115" s="270">
        <v>0.26515148979675962</v>
      </c>
      <c r="U115" s="270">
        <v>1.8714305352598843</v>
      </c>
      <c r="V115" s="270" t="e">
        <v>#N/A</v>
      </c>
      <c r="W115" s="276">
        <f>SQRT(U115^2/W109+(AF44-U105)^2*U114^2 +(AG44-V105)^2*T114^2-2*CORREL(U85:U104,V85:V104)*(AF44-U105)*U114 *(AG44-V105)*T114)</f>
        <v>0.43073762969888779</v>
      </c>
      <c r="X115" s="17"/>
      <c r="Y115" s="17"/>
      <c r="Z115" s="17"/>
      <c r="AA115" s="17"/>
      <c r="AB115" s="19"/>
      <c r="AC115" s="121"/>
      <c r="AD115" s="121"/>
      <c r="AE115" s="121"/>
      <c r="AF115" s="121"/>
      <c r="AG115" s="121"/>
      <c r="AH115" s="19"/>
      <c r="AI115" s="107"/>
      <c r="AJ115" s="34"/>
      <c r="AK115" s="34"/>
      <c r="AL115" s="19"/>
    </row>
    <row r="116" spans="1:38" s="1" customFormat="1" x14ac:dyDescent="0.2">
      <c r="A116" s="117"/>
      <c r="B116" s="117"/>
      <c r="C116" s="120"/>
      <c r="D116" s="120"/>
      <c r="E116" s="120"/>
      <c r="F116" s="140"/>
      <c r="G116" s="17"/>
      <c r="H116" s="17"/>
      <c r="I116" s="17"/>
      <c r="J116" s="17"/>
      <c r="K116" s="51"/>
      <c r="L116" s="121"/>
      <c r="M116" s="121"/>
      <c r="N116" s="121"/>
      <c r="O116" s="121"/>
      <c r="P116" s="121"/>
      <c r="Q116" s="19"/>
      <c r="R116" s="19"/>
      <c r="S116" s="117"/>
      <c r="T116" s="120"/>
      <c r="U116" s="120"/>
      <c r="V116" s="120"/>
      <c r="W116" s="140"/>
      <c r="X116" s="17"/>
      <c r="Y116" s="17"/>
      <c r="Z116" s="17"/>
      <c r="AA116" s="17"/>
      <c r="AB116" s="19"/>
      <c r="AC116" s="121"/>
      <c r="AD116" s="121"/>
      <c r="AE116" s="121"/>
      <c r="AF116" s="121"/>
      <c r="AG116" s="121"/>
      <c r="AH116" s="19"/>
      <c r="AI116" s="107"/>
      <c r="AJ116" s="34"/>
      <c r="AK116" s="34"/>
      <c r="AL116" s="19"/>
    </row>
    <row r="117" spans="1:38" s="1" customFormat="1" ht="27.2" customHeight="1" x14ac:dyDescent="0.2">
      <c r="A117" s="19"/>
      <c r="B117" s="142"/>
      <c r="C117" s="333" t="s">
        <v>247</v>
      </c>
      <c r="D117" s="334" t="str">
        <f t="shared" ref="D117:J117" si="129">D51</f>
        <v>X1</v>
      </c>
      <c r="E117" s="335" t="str">
        <f t="shared" si="129"/>
        <v>X2</v>
      </c>
      <c r="F117" s="335" t="str">
        <f t="shared" si="129"/>
        <v>Pre1</v>
      </c>
      <c r="G117" s="335" t="str">
        <f t="shared" si="129"/>
        <v>Pre2</v>
      </c>
      <c r="H117" s="335" t="str">
        <f t="shared" si="129"/>
        <v>Post1</v>
      </c>
      <c r="I117" s="335" t="str">
        <f t="shared" si="129"/>
        <v>Post2</v>
      </c>
      <c r="J117" s="335" t="str">
        <f t="shared" si="129"/>
        <v>Post3</v>
      </c>
      <c r="K117" s="303"/>
      <c r="L117" s="19"/>
      <c r="M117" s="17"/>
      <c r="N117" s="17"/>
      <c r="O117" s="17"/>
      <c r="P117" s="17"/>
      <c r="Q117" s="19"/>
      <c r="R117" s="19"/>
      <c r="S117" s="142"/>
      <c r="T117" s="333" t="s">
        <v>247</v>
      </c>
      <c r="U117" s="242" t="str">
        <f t="shared" ref="U117:AA117" si="130">U51</f>
        <v>X1</v>
      </c>
      <c r="V117" s="143" t="str">
        <f t="shared" si="130"/>
        <v>X2</v>
      </c>
      <c r="W117" s="143" t="str">
        <f t="shared" si="130"/>
        <v>Pre1</v>
      </c>
      <c r="X117" s="143" t="str">
        <f t="shared" si="130"/>
        <v>Pre2</v>
      </c>
      <c r="Y117" s="143" t="str">
        <f t="shared" si="130"/>
        <v>Post1</v>
      </c>
      <c r="Z117" s="143" t="str">
        <f t="shared" si="130"/>
        <v>Post2</v>
      </c>
      <c r="AA117" s="143" t="str">
        <f t="shared" si="130"/>
        <v>Post3</v>
      </c>
      <c r="AB117" s="101"/>
      <c r="AC117" s="123"/>
      <c r="AD117" s="19"/>
      <c r="AE117" s="119"/>
      <c r="AF117" s="119"/>
      <c r="AG117" s="119"/>
      <c r="AH117" s="19"/>
      <c r="AI117" s="19"/>
      <c r="AJ117" s="19"/>
      <c r="AK117" s="19"/>
      <c r="AL117" s="19"/>
    </row>
    <row r="118" spans="1:38" s="1" customFormat="1" x14ac:dyDescent="0.2">
      <c r="A118" s="19"/>
      <c r="B118" s="399"/>
      <c r="C118" s="38" t="s">
        <v>1</v>
      </c>
      <c r="D118" s="336">
        <f t="shared" ref="D118:J118" si="131">AVERAGE(D52:D71,D85:D104)</f>
        <v>9.68</v>
      </c>
      <c r="E118" s="83">
        <f t="shared" si="131"/>
        <v>400.26499999999999</v>
      </c>
      <c r="F118" s="83">
        <f t="shared" si="131"/>
        <v>400.27500000000003</v>
      </c>
      <c r="G118" s="83">
        <f t="shared" si="131"/>
        <v>400.25500000000005</v>
      </c>
      <c r="H118" s="83">
        <f t="shared" si="131"/>
        <v>406.70499999999998</v>
      </c>
      <c r="I118" s="83">
        <f t="shared" si="131"/>
        <v>402.69499999999999</v>
      </c>
      <c r="J118" s="84">
        <f t="shared" si="131"/>
        <v>401.96000000000004</v>
      </c>
      <c r="K118" s="117"/>
      <c r="L118" s="18"/>
      <c r="M118" s="124"/>
      <c r="N118" s="124"/>
      <c r="O118" s="124"/>
      <c r="P118" s="124"/>
      <c r="Q118" s="19"/>
      <c r="R118" s="19"/>
      <c r="S118" s="294"/>
      <c r="T118" s="530" t="s">
        <v>1</v>
      </c>
      <c r="U118" s="147">
        <f t="shared" ref="U118:AA118" si="132">AVERAGE(U52:U71,U85:U104)</f>
        <v>9.68</v>
      </c>
      <c r="V118" s="148">
        <f t="shared" si="132"/>
        <v>599.20014055655622</v>
      </c>
      <c r="W118" s="144">
        <f t="shared" si="132"/>
        <v>599.20270845415757</v>
      </c>
      <c r="X118" s="144">
        <f t="shared" si="132"/>
        <v>599.19757265895498</v>
      </c>
      <c r="Y118" s="144">
        <f t="shared" si="132"/>
        <v>600.78538253087447</v>
      </c>
      <c r="Z118" s="144">
        <f t="shared" si="132"/>
        <v>599.78322784794125</v>
      </c>
      <c r="AA118" s="389">
        <f t="shared" si="132"/>
        <v>599.60829925338408</v>
      </c>
      <c r="AB118" s="101"/>
      <c r="AC118" s="18"/>
      <c r="AD118" s="125"/>
      <c r="AE118" s="125"/>
      <c r="AF118" s="125"/>
      <c r="AG118" s="125"/>
      <c r="AH118" s="19"/>
      <c r="AI118" s="19"/>
      <c r="AJ118" s="19"/>
      <c r="AK118" s="19"/>
      <c r="AL118" s="19"/>
    </row>
    <row r="119" spans="1:38" s="1" customFormat="1" x14ac:dyDescent="0.2">
      <c r="A119" s="19"/>
      <c r="B119" s="101"/>
      <c r="C119" s="38" t="s">
        <v>2</v>
      </c>
      <c r="D119" s="337">
        <f t="shared" ref="D119:J119" si="133">SQRT((D73^2*D75+D106^2*D108)/(D75+D108))</f>
        <v>2.3610880631830073</v>
      </c>
      <c r="E119" s="94">
        <f t="shared" si="133"/>
        <v>4.9423385685640566</v>
      </c>
      <c r="F119" s="94">
        <f t="shared" si="133"/>
        <v>6.4935717201098573</v>
      </c>
      <c r="G119" s="94">
        <f t="shared" si="133"/>
        <v>6.207410681469451</v>
      </c>
      <c r="H119" s="94">
        <f t="shared" si="133"/>
        <v>8.5051965539341143</v>
      </c>
      <c r="I119" s="94">
        <f t="shared" si="133"/>
        <v>10.554643527850669</v>
      </c>
      <c r="J119" s="134">
        <f t="shared" si="133"/>
        <v>9.2819958720321072</v>
      </c>
      <c r="K119" s="525"/>
      <c r="L119" s="121" t="s">
        <v>116</v>
      </c>
      <c r="M119" s="122" t="str">
        <f>"Value of "&amp;D51</f>
        <v>Value of X1</v>
      </c>
      <c r="N119" s="122" t="str">
        <f>"Value of "&amp;E51</f>
        <v>Value of X2</v>
      </c>
      <c r="O119" s="122" t="str">
        <f>"Value of "&amp;D51</f>
        <v>Value of X1</v>
      </c>
      <c r="P119" s="122" t="str">
        <f>"Value of "&amp;E51</f>
        <v>Value of X2</v>
      </c>
      <c r="Q119" s="19"/>
      <c r="R119" s="19"/>
      <c r="S119" s="101"/>
      <c r="T119" s="531" t="s">
        <v>2</v>
      </c>
      <c r="U119" s="149">
        <f t="shared" ref="U119:AA119" si="134">SQRT((U73^2*U75+U106^2*U108)/(U75+U108))</f>
        <v>2.3610880631830073</v>
      </c>
      <c r="V119" s="150">
        <f t="shared" si="134"/>
        <v>1.2326723647508215</v>
      </c>
      <c r="W119" s="523">
        <f t="shared" si="134"/>
        <v>1.6175300355593716</v>
      </c>
      <c r="X119" s="523">
        <f t="shared" si="134"/>
        <v>1.5478793619770292</v>
      </c>
      <c r="Y119" s="523">
        <f t="shared" si="134"/>
        <v>2.0750464109306321</v>
      </c>
      <c r="Z119" s="523">
        <f t="shared" si="134"/>
        <v>2.5833529888341746</v>
      </c>
      <c r="AA119" s="524">
        <f t="shared" si="134"/>
        <v>2.3088968897779685</v>
      </c>
      <c r="AB119" s="101"/>
      <c r="AC119" s="121" t="s">
        <v>116</v>
      </c>
      <c r="AD119" s="122" t="str">
        <f>"Value of "&amp;U51</f>
        <v>Value of X1</v>
      </c>
      <c r="AE119" s="122" t="str">
        <f>"Value of "&amp;V51</f>
        <v>Value of X2</v>
      </c>
      <c r="AF119" s="122" t="str">
        <f>"Value of "&amp;U51</f>
        <v>Value of X1</v>
      </c>
      <c r="AG119" s="122" t="str">
        <f>"Value of "&amp;V51</f>
        <v>Value of X2</v>
      </c>
      <c r="AH119" s="19"/>
      <c r="AI119" s="19"/>
      <c r="AJ119" s="19"/>
      <c r="AK119" s="19"/>
      <c r="AL119" s="19"/>
    </row>
    <row r="120" spans="1:38" s="1" customFormat="1" x14ac:dyDescent="0.2">
      <c r="A120" s="19"/>
      <c r="B120" s="395"/>
      <c r="C120" s="532" t="s">
        <v>58</v>
      </c>
      <c r="D120" s="338">
        <f>D108*(2-CORREL(D85:D104,D52:D71))</f>
        <v>21.539770050627531</v>
      </c>
      <c r="E120" s="141">
        <f t="shared" ref="E120:J120" si="135">E108*(2-CORREL(E85:E104,E52:E71))</f>
        <v>25.864858615512901</v>
      </c>
      <c r="F120" s="141">
        <f t="shared" si="135"/>
        <v>30.016096270997405</v>
      </c>
      <c r="G120" s="141">
        <f t="shared" si="135"/>
        <v>32.188439160660877</v>
      </c>
      <c r="H120" s="141">
        <f t="shared" si="135"/>
        <v>28.976534711513494</v>
      </c>
      <c r="I120" s="141">
        <f t="shared" si="135"/>
        <v>28.293058348020331</v>
      </c>
      <c r="J120" s="527">
        <f t="shared" si="135"/>
        <v>35.739645005982233</v>
      </c>
      <c r="K120" s="526"/>
      <c r="L120" s="127" t="s">
        <v>54</v>
      </c>
      <c r="M120" s="122">
        <f>IF(ISNUMBER(M44),MAX(M52:M71,M85:M104),AVERAGE(M52:M71,M85:M104))</f>
        <v>6.4400000000000066</v>
      </c>
      <c r="N120" s="122">
        <f>IF(ISNUMBER(N44),MAX(N52:N71,N85:N104),AVERAGE(N52:N71,N85:N104))</f>
        <v>6.4400000000000066</v>
      </c>
      <c r="O120" s="122">
        <f>MAX(O52:O71,O85:O104)</f>
        <v>23.56706471285878</v>
      </c>
      <c r="P120" s="122">
        <f>MAX(P52:P71,P85:P104)</f>
        <v>23.695699943959411</v>
      </c>
      <c r="Q120" s="19"/>
      <c r="R120" s="19"/>
      <c r="S120" s="395"/>
      <c r="T120" s="532" t="s">
        <v>58</v>
      </c>
      <c r="U120" s="338">
        <f>U108*(2-CORREL(U85:U104,U52:U71))</f>
        <v>21.539770050627531</v>
      </c>
      <c r="V120" s="141">
        <f t="shared" ref="V120:AA120" si="136">V108*(2-CORREL(V85:V104,V52:V71))</f>
        <v>25.909205666250617</v>
      </c>
      <c r="W120" s="141">
        <f t="shared" si="136"/>
        <v>30.059286402024938</v>
      </c>
      <c r="X120" s="141">
        <f t="shared" si="136"/>
        <v>32.170584892784014</v>
      </c>
      <c r="Y120" s="141">
        <f t="shared" si="136"/>
        <v>28.957136197323113</v>
      </c>
      <c r="Z120" s="141">
        <f t="shared" si="136"/>
        <v>28.175723359368018</v>
      </c>
      <c r="AA120" s="527">
        <f t="shared" si="136"/>
        <v>35.676067233414756</v>
      </c>
      <c r="AB120" s="101"/>
      <c r="AC120" s="127" t="s">
        <v>54</v>
      </c>
      <c r="AD120" s="122">
        <f>IF(ISNUMBER(AD44),MAX(AD52:AD71,AD85:AD104),AVERAGE(AD52:AD71,AD85:AD104))</f>
        <v>1.5852419743182764</v>
      </c>
      <c r="AE120" s="122">
        <f>IF(ISNUMBER(AE44),MAX(AE52:AE71,AE85:AE104),AVERAGE(AE52:AE71,AE85:AE104))</f>
        <v>1.5852419743182764</v>
      </c>
      <c r="AF120" s="122">
        <f>MAX(AF52:AF71,AF85:AF104)</f>
        <v>5.7390614050042128</v>
      </c>
      <c r="AG120" s="122">
        <f>MAX(AG52:AG71,AG85:AG104)</f>
        <v>5.7129575923955986</v>
      </c>
      <c r="AH120" s="19"/>
      <c r="AI120" s="19"/>
      <c r="AJ120" s="19"/>
      <c r="AK120" s="19"/>
      <c r="AL120" s="19"/>
    </row>
    <row r="121" spans="1:38" s="1" customFormat="1" x14ac:dyDescent="0.2">
      <c r="A121" s="19"/>
      <c r="B121" s="19"/>
      <c r="C121" s="19"/>
      <c r="D121" s="19"/>
      <c r="E121" s="19"/>
      <c r="F121" s="19"/>
      <c r="G121" s="19"/>
      <c r="H121" s="19"/>
      <c r="I121" s="19"/>
      <c r="J121" s="19"/>
      <c r="K121" s="121"/>
      <c r="L121" s="127" t="s">
        <v>55</v>
      </c>
      <c r="M121" s="122">
        <f>IF(ISNUMBER(M44),MIN(M52:M71,M85:M104),AVERAGE(M52:M71,M85:M104))</f>
        <v>6.4400000000000066</v>
      </c>
      <c r="N121" s="122">
        <f>IF(ISNUMBER(N44),MIN(N52:N71,N85:N104),AVERAGE(N52:N71,N85:N104))</f>
        <v>6.4400000000000066</v>
      </c>
      <c r="O121" s="122">
        <f>MIN(O52:O71,O85:O104)</f>
        <v>-8.6737637895626047</v>
      </c>
      <c r="P121" s="122">
        <f>MIN(P52:P71,P85:P104)</f>
        <v>-10.810531305669334</v>
      </c>
      <c r="Q121" s="19"/>
      <c r="R121" s="19"/>
      <c r="S121" s="101"/>
      <c r="T121" s="392" t="s">
        <v>5</v>
      </c>
      <c r="U121" s="390" t="str">
        <f>IF(U118=D118,"",EXP(U118/100))</f>
        <v/>
      </c>
      <c r="V121" s="145">
        <f>IF(V118=E118,"",EXP(V118/100))</f>
        <v>400.21480103674975</v>
      </c>
      <c r="W121" s="145">
        <f>EXP(W118/100)</f>
        <v>400.22507827497964</v>
      </c>
      <c r="X121" s="145">
        <f>EXP(X118/100)</f>
        <v>400.20452406242549</v>
      </c>
      <c r="Y121" s="145">
        <f>EXP(Y118/100)</f>
        <v>406.60972766131749</v>
      </c>
      <c r="Z121" s="145">
        <f>EXP(Z118/100)</f>
        <v>402.55521938982594</v>
      </c>
      <c r="AA121" s="130">
        <f>EXP(AA118/100)</f>
        <v>401.85165075300466</v>
      </c>
      <c r="AB121" s="101"/>
      <c r="AC121" s="127" t="s">
        <v>55</v>
      </c>
      <c r="AD121" s="122">
        <f>IF(ISNUMBER(AD44),MIN(AD52:AD71,AD85:AD104),AVERAGE(AD52:AD71,AD85:AD104))</f>
        <v>1.5852419743182764</v>
      </c>
      <c r="AE121" s="122">
        <f>IF(ISNUMBER(AE44),MIN(AE52:AE71,AE85:AE104),AVERAGE(AE52:AE71,AE85:AE104))</f>
        <v>1.5852419743182764</v>
      </c>
      <c r="AF121" s="122">
        <f>MIN(AF52:AF71,AF85:AF104)</f>
        <v>-2.1706842515591327</v>
      </c>
      <c r="AG121" s="122">
        <f>MIN(AG52:AG71,AG85:AG104)</f>
        <v>-2.7051139084635683</v>
      </c>
      <c r="AH121" s="19"/>
      <c r="AI121" s="19"/>
      <c r="AJ121" s="19"/>
      <c r="AK121" s="19"/>
      <c r="AL121" s="19"/>
    </row>
    <row r="122" spans="1:38" s="1" customFormat="1" x14ac:dyDescent="0.2">
      <c r="A122" s="19"/>
      <c r="B122" s="19"/>
      <c r="C122" s="19"/>
      <c r="D122" s="19"/>
      <c r="E122" s="19"/>
      <c r="F122" s="19"/>
      <c r="G122" s="19"/>
      <c r="H122" s="19"/>
      <c r="I122" s="19"/>
      <c r="J122" s="19"/>
      <c r="K122" s="19"/>
      <c r="L122" s="127" t="s">
        <v>113</v>
      </c>
      <c r="M122" s="121">
        <f>IF(ISBLANK(M44),M45,M44)</f>
        <v>9.68</v>
      </c>
      <c r="N122" s="121">
        <f>IF(ISBLANK(N44),N45,N44)</f>
        <v>400.26499999999999</v>
      </c>
      <c r="O122" s="121">
        <f>IF(ISBLANK(O44),1/0,O44)</f>
        <v>9.68</v>
      </c>
      <c r="P122" s="121">
        <f>IF(ISBLANK(P44),1/0,P44)</f>
        <v>400.26499999999999</v>
      </c>
      <c r="Q122" s="19"/>
      <c r="R122" s="19"/>
      <c r="S122" s="101"/>
      <c r="T122" s="38" t="s">
        <v>6</v>
      </c>
      <c r="U122" s="390" t="str">
        <f>IF(U118=D118,"",100*EXP(U119/100)-100)</f>
        <v/>
      </c>
      <c r="V122" s="145">
        <f>IF(V118=E118,"",100*EXP(V119/100)-100)</f>
        <v>1.2403010840240825</v>
      </c>
      <c r="W122" s="145">
        <f>100*EXP(W119/100)-100</f>
        <v>1.6306828739814279</v>
      </c>
      <c r="X122" s="145">
        <f>100*EXP(X119/100)-100</f>
        <v>1.559921064692432</v>
      </c>
      <c r="Y122" s="145">
        <f>100*EXP(Y119/100)-100</f>
        <v>2.096725187544223</v>
      </c>
      <c r="Z122" s="145">
        <f>100*EXP(Z119/100)-100</f>
        <v>2.6170107601494408</v>
      </c>
      <c r="AA122" s="130">
        <f>100*EXP(AA119/100)-100</f>
        <v>2.3357582493310929</v>
      </c>
      <c r="AB122" s="101"/>
      <c r="AC122" s="127" t="s">
        <v>113</v>
      </c>
      <c r="AD122" s="121">
        <f>IF(ISBLANK(AD44),AD45,AD44)</f>
        <v>9.68</v>
      </c>
      <c r="AE122" s="121">
        <f>IF(ISBLANK(AE44),AE45,AE44)</f>
        <v>599.20014055655622</v>
      </c>
      <c r="AF122" s="121">
        <f>IF(ISBLANK(AF44),1/0,AF44)</f>
        <v>9.68</v>
      </c>
      <c r="AG122" s="121">
        <f>IF(ISBLANK(AG44),1/0,AG44)</f>
        <v>599.20014055655622</v>
      </c>
      <c r="AH122" s="19"/>
      <c r="AI122" s="19"/>
      <c r="AJ122" s="19"/>
      <c r="AK122" s="19"/>
      <c r="AL122" s="19"/>
    </row>
    <row r="123" spans="1:38" s="1" customFormat="1" x14ac:dyDescent="0.2">
      <c r="A123" s="19"/>
      <c r="B123" s="19"/>
      <c r="C123" s="19"/>
      <c r="D123" s="19"/>
      <c r="E123" s="19"/>
      <c r="F123" s="19"/>
      <c r="G123" s="19"/>
      <c r="H123" s="19"/>
      <c r="I123" s="19"/>
      <c r="J123" s="19"/>
      <c r="K123" s="127"/>
      <c r="L123" s="19"/>
      <c r="M123" s="121">
        <f>M122</f>
        <v>9.68</v>
      </c>
      <c r="N123" s="121">
        <f>N122</f>
        <v>400.26499999999999</v>
      </c>
      <c r="O123" s="121">
        <f>O122</f>
        <v>9.68</v>
      </c>
      <c r="P123" s="121">
        <f>P122</f>
        <v>400.26499999999999</v>
      </c>
      <c r="Q123" s="19"/>
      <c r="R123" s="19"/>
      <c r="S123" s="395"/>
      <c r="T123" s="400" t="s">
        <v>7</v>
      </c>
      <c r="U123" s="391" t="str">
        <f>IF(U118=D118,"",EXP(U119/100))</f>
        <v/>
      </c>
      <c r="V123" s="86">
        <f>IF(V118=E118,"",EXP(V119/100))</f>
        <v>1.0124030108402409</v>
      </c>
      <c r="W123" s="86">
        <f>EXP(W119/100)</f>
        <v>1.0163068287398143</v>
      </c>
      <c r="X123" s="86">
        <f>EXP(X119/100)</f>
        <v>1.0155992106469243</v>
      </c>
      <c r="Y123" s="86">
        <f>EXP(Y119/100)</f>
        <v>1.0209672518754422</v>
      </c>
      <c r="Z123" s="86">
        <f>EXP(Z119/100)</f>
        <v>1.0261701076014944</v>
      </c>
      <c r="AA123" s="87">
        <f>EXP(AA119/100)</f>
        <v>1.023357582493311</v>
      </c>
      <c r="AB123" s="340"/>
      <c r="AC123" s="19"/>
      <c r="AD123" s="121">
        <f>AD122</f>
        <v>9.68</v>
      </c>
      <c r="AE123" s="121">
        <f>AE122</f>
        <v>599.20014055655622</v>
      </c>
      <c r="AF123" s="121">
        <f>AF122</f>
        <v>9.68</v>
      </c>
      <c r="AG123" s="121">
        <f>AG122</f>
        <v>599.20014055655622</v>
      </c>
      <c r="AH123" s="19"/>
      <c r="AI123" s="19"/>
      <c r="AJ123" s="19"/>
      <c r="AK123" s="19"/>
      <c r="AL123" s="19"/>
    </row>
    <row r="124" spans="1:38" s="1" customFormat="1" x14ac:dyDescent="0.2">
      <c r="A124" s="19"/>
      <c r="B124" s="19"/>
      <c r="C124" s="19"/>
      <c r="D124" s="19"/>
      <c r="E124" s="19"/>
      <c r="F124" s="19"/>
      <c r="G124" s="19"/>
      <c r="H124" s="19"/>
      <c r="I124" s="19"/>
      <c r="J124" s="19"/>
      <c r="K124" s="127"/>
      <c r="L124" s="19"/>
      <c r="M124" s="121"/>
      <c r="N124" s="121"/>
      <c r="O124" s="121"/>
      <c r="P124" s="121"/>
      <c r="Q124" s="19"/>
      <c r="R124" s="19"/>
      <c r="S124" s="19"/>
      <c r="T124" s="19"/>
      <c r="U124" s="19"/>
      <c r="V124" s="19"/>
      <c r="W124" s="19"/>
      <c r="X124" s="19"/>
      <c r="Y124" s="19"/>
      <c r="Z124" s="19"/>
      <c r="AA124" s="19"/>
      <c r="AB124" s="127"/>
      <c r="AC124" s="19"/>
      <c r="AD124" s="121"/>
      <c r="AE124" s="121"/>
      <c r="AF124" s="121"/>
      <c r="AG124" s="121"/>
      <c r="AH124" s="19"/>
      <c r="AI124" s="19"/>
      <c r="AJ124" s="19"/>
      <c r="AK124" s="19"/>
      <c r="AL124" s="19"/>
    </row>
    <row r="125" spans="1:38" s="1" customFormat="1" ht="33" customHeight="1" x14ac:dyDescent="0.2">
      <c r="A125" s="19"/>
      <c r="B125" s="590" t="s">
        <v>187</v>
      </c>
      <c r="C125" s="591"/>
      <c r="D125" s="591"/>
      <c r="E125" s="591"/>
      <c r="F125" s="334" t="str">
        <f>F51</f>
        <v>Pre1</v>
      </c>
      <c r="G125" s="335" t="str">
        <f>G51</f>
        <v>Pre2</v>
      </c>
      <c r="H125" s="335" t="str">
        <f>H51</f>
        <v>Post1</v>
      </c>
      <c r="I125" s="335" t="str">
        <f>I51</f>
        <v>Post2</v>
      </c>
      <c r="J125" s="335" t="str">
        <f>J51</f>
        <v>Post3</v>
      </c>
      <c r="K125" s="340"/>
      <c r="L125" s="19"/>
      <c r="M125" s="121"/>
      <c r="N125" s="121"/>
      <c r="O125" s="121"/>
      <c r="P125" s="121"/>
      <c r="Q125" s="19"/>
      <c r="R125" s="19"/>
      <c r="S125" s="590" t="s">
        <v>187</v>
      </c>
      <c r="T125" s="591"/>
      <c r="U125" s="591"/>
      <c r="V125" s="591"/>
      <c r="W125" s="242" t="str">
        <f>W51</f>
        <v>Pre1</v>
      </c>
      <c r="X125" s="143" t="str">
        <f>X51</f>
        <v>Pre2</v>
      </c>
      <c r="Y125" s="143" t="str">
        <f>Y51</f>
        <v>Post1</v>
      </c>
      <c r="Z125" s="143" t="str">
        <f>Z51</f>
        <v>Post2</v>
      </c>
      <c r="AA125" s="143" t="str">
        <f>AA51</f>
        <v>Post3</v>
      </c>
      <c r="AB125" s="340"/>
      <c r="AC125" s="19"/>
      <c r="AD125" s="121"/>
      <c r="AE125" s="121"/>
      <c r="AF125" s="121"/>
      <c r="AG125" s="121"/>
      <c r="AH125" s="37"/>
      <c r="AI125" s="107"/>
      <c r="AJ125" s="34"/>
      <c r="AK125" s="34"/>
      <c r="AL125" s="19"/>
    </row>
    <row r="126" spans="1:38" s="1" customFormat="1" ht="15" x14ac:dyDescent="0.2">
      <c r="A126" s="19"/>
      <c r="B126" s="397"/>
      <c r="C126" s="398"/>
      <c r="D126" s="398"/>
      <c r="E126" s="453" t="s">
        <v>188</v>
      </c>
      <c r="F126" s="346">
        <f>IF(SUM($F127:$J127)&gt;0,F127,IF(F50&lt;0,1,0))</f>
        <v>1</v>
      </c>
      <c r="G126" s="346">
        <f>IF(SUM($F127:$J127)&gt;0,G127,IF(G50&lt;0,1,0))</f>
        <v>1</v>
      </c>
      <c r="H126" s="346">
        <f>IF(SUM($F127:$J127)&gt;0,H127,IF(H50&lt;0,1,0))</f>
        <v>0</v>
      </c>
      <c r="I126" s="346">
        <f>IF(SUM($F127:$J127)&gt;0,I127,IF(I50&lt;0,1,0))</f>
        <v>0</v>
      </c>
      <c r="J126" s="347">
        <f>IF(SUM($F127:$J127)&gt;0,J127,IF(J50&lt;0,1,0))</f>
        <v>0</v>
      </c>
      <c r="K126" s="303"/>
      <c r="L126" s="109"/>
      <c r="M126" s="128"/>
      <c r="N126" s="17"/>
      <c r="O126" s="17"/>
      <c r="P126" s="17"/>
      <c r="Q126" s="19"/>
      <c r="R126" s="19"/>
      <c r="S126" s="397"/>
      <c r="T126" s="398"/>
      <c r="U126" s="398"/>
      <c r="V126" s="453" t="s">
        <v>188</v>
      </c>
      <c r="W126" s="346">
        <f>F126</f>
        <v>1</v>
      </c>
      <c r="X126" s="346">
        <f>G126</f>
        <v>1</v>
      </c>
      <c r="Y126" s="346">
        <f>H126</f>
        <v>0</v>
      </c>
      <c r="Z126" s="346">
        <f>I126</f>
        <v>0</v>
      </c>
      <c r="AA126" s="347">
        <f>J126</f>
        <v>0</v>
      </c>
      <c r="AB126" s="340"/>
      <c r="AC126" s="109"/>
      <c r="AD126" s="128"/>
      <c r="AE126" s="128"/>
      <c r="AF126" s="128"/>
      <c r="AG126" s="128"/>
      <c r="AH126" s="37"/>
      <c r="AI126" s="107"/>
      <c r="AJ126" s="34"/>
      <c r="AK126" s="34"/>
      <c r="AL126" s="19"/>
    </row>
    <row r="127" spans="1:38" s="1" customFormat="1" ht="14.25" x14ac:dyDescent="0.2">
      <c r="A127" s="19"/>
      <c r="B127" s="101"/>
      <c r="C127" s="34"/>
      <c r="D127" s="34"/>
      <c r="E127" s="454" t="s">
        <v>189</v>
      </c>
      <c r="F127" s="343"/>
      <c r="G127" s="343"/>
      <c r="H127" s="343"/>
      <c r="I127" s="343"/>
      <c r="J127" s="343"/>
      <c r="K127" s="303"/>
      <c r="L127" s="109"/>
      <c r="M127" s="128"/>
      <c r="N127" s="17"/>
      <c r="O127" s="17"/>
      <c r="P127" s="17"/>
      <c r="Q127" s="19"/>
      <c r="R127" s="19"/>
      <c r="S127" s="101"/>
      <c r="T127" s="34"/>
      <c r="U127" s="34"/>
      <c r="V127" s="454" t="s">
        <v>189</v>
      </c>
      <c r="W127" s="344">
        <f>F127</f>
        <v>0</v>
      </c>
      <c r="X127" s="344">
        <f t="shared" ref="X127:AA127" si="137">G127</f>
        <v>0</v>
      </c>
      <c r="Y127" s="344">
        <f t="shared" si="137"/>
        <v>0</v>
      </c>
      <c r="Z127" s="344">
        <f t="shared" si="137"/>
        <v>0</v>
      </c>
      <c r="AA127" s="344">
        <f t="shared" si="137"/>
        <v>0</v>
      </c>
      <c r="AB127" s="340"/>
      <c r="AC127" s="109"/>
      <c r="AD127" s="128"/>
      <c r="AE127" s="128"/>
      <c r="AF127" s="128"/>
      <c r="AG127" s="128"/>
      <c r="AH127" s="37"/>
      <c r="AI127" s="107"/>
      <c r="AJ127" s="34"/>
      <c r="AK127" s="34"/>
      <c r="AL127" s="19"/>
    </row>
    <row r="128" spans="1:38" s="1" customFormat="1" x14ac:dyDescent="0.2">
      <c r="A128" s="19"/>
      <c r="B128" s="101"/>
      <c r="C128" s="34"/>
      <c r="D128" s="34"/>
      <c r="E128" s="392" t="s">
        <v>148</v>
      </c>
      <c r="F128" s="318">
        <f>IF(OR(ISERROR(F119),ISBLANK(F126),F126=0),"",F119)</f>
        <v>6.4935717201098573</v>
      </c>
      <c r="G128" s="339">
        <f>IF(OR(ISERROR(G119),ISBLANK(G126),G126=0),"",G119)</f>
        <v>6.207410681469451</v>
      </c>
      <c r="H128" s="339" t="str">
        <f>IF(OR(ISERROR(H119),ISBLANK(H126),H126=0),"",H119)</f>
        <v/>
      </c>
      <c r="I128" s="339" t="str">
        <f>IF(OR(ISERROR(I119),ISBLANK(I126),I126=0),"",I119)</f>
        <v/>
      </c>
      <c r="J128" s="339" t="str">
        <f>IF(OR(ISERROR(J119),ISBLANK(J126),J126=0),"",J119)</f>
        <v/>
      </c>
      <c r="K128" s="303"/>
      <c r="L128" s="109"/>
      <c r="M128" s="128"/>
      <c r="N128" s="17"/>
      <c r="O128" s="17"/>
      <c r="P128" s="17"/>
      <c r="Q128" s="19"/>
      <c r="R128" s="19"/>
      <c r="S128" s="101"/>
      <c r="T128" s="34"/>
      <c r="U128" s="34"/>
      <c r="V128" s="392" t="s">
        <v>98</v>
      </c>
      <c r="W128" s="318">
        <f>IF(OR(ISERROR(W119),ISBLANK(W126),W126=0),"",W119)</f>
        <v>1.6175300355593716</v>
      </c>
      <c r="X128" s="339">
        <f>IF(OR(ISERROR(X119),ISBLANK(X126),X126=0),"",X119)</f>
        <v>1.5478793619770292</v>
      </c>
      <c r="Y128" s="339" t="str">
        <f>IF(OR(ISERROR(Y119),ISBLANK(Y126),Y126=0),"",Y119)</f>
        <v/>
      </c>
      <c r="Z128" s="339" t="str">
        <f>IF(OR(ISERROR(Z119),ISBLANK(Z126),Z126=0),"",Z119)</f>
        <v/>
      </c>
      <c r="AA128" s="339" t="str">
        <f>IF(OR(ISERROR(AA119),ISBLANK(AA126),AA126=0),"",AA119)</f>
        <v/>
      </c>
      <c r="AB128" s="340"/>
      <c r="AC128" s="109"/>
      <c r="AD128" s="128"/>
      <c r="AE128" s="128"/>
      <c r="AF128" s="128"/>
      <c r="AG128" s="128"/>
      <c r="AH128" s="37"/>
      <c r="AI128" s="107"/>
      <c r="AJ128" s="34"/>
      <c r="AK128" s="34"/>
      <c r="AL128" s="19"/>
    </row>
    <row r="129" spans="1:38" s="1" customFormat="1" x14ac:dyDescent="0.2">
      <c r="A129" s="19"/>
      <c r="B129" s="101"/>
      <c r="C129" s="34"/>
      <c r="D129" s="34"/>
      <c r="E129" s="392" t="s">
        <v>90</v>
      </c>
      <c r="F129" s="455">
        <f>SQRT(SUMPRODUCT(F128:J128,F128:J128,F126:J126)/COUNT(F128:J128))</f>
        <v>6.3521028428635944</v>
      </c>
      <c r="G129" s="19"/>
      <c r="H129" s="19"/>
      <c r="I129" s="19"/>
      <c r="J129" s="19"/>
      <c r="K129" s="19"/>
      <c r="L129" s="19"/>
      <c r="M129" s="19"/>
      <c r="N129" s="19"/>
      <c r="O129" s="19"/>
      <c r="P129" s="19"/>
      <c r="Q129" s="19"/>
      <c r="R129" s="19"/>
      <c r="S129" s="101"/>
      <c r="T129" s="34"/>
      <c r="U129" s="34"/>
      <c r="V129" s="393" t="s">
        <v>184</v>
      </c>
      <c r="W129" s="450" t="str">
        <f>IF(ISNUMBER(F130),100*LN(1+F130/F132),"")</f>
        <v/>
      </c>
      <c r="X129" s="19"/>
      <c r="Y129" s="19"/>
      <c r="Z129" s="19"/>
      <c r="AA129" s="19"/>
      <c r="AB129" s="19"/>
      <c r="AC129" s="109"/>
      <c r="AD129" s="128"/>
      <c r="AE129" s="128"/>
      <c r="AF129" s="128"/>
      <c r="AG129" s="128"/>
      <c r="AH129" s="37"/>
      <c r="AI129" s="107"/>
      <c r="AJ129" s="34"/>
      <c r="AK129" s="34"/>
      <c r="AL129" s="19"/>
    </row>
    <row r="130" spans="1:38" s="1" customFormat="1" x14ac:dyDescent="0.2">
      <c r="A130" s="19"/>
      <c r="B130" s="101"/>
      <c r="C130" s="34"/>
      <c r="D130" s="34"/>
      <c r="E130" s="393" t="s">
        <v>96</v>
      </c>
      <c r="F130" s="456"/>
      <c r="G130" s="19"/>
      <c r="H130" s="19"/>
      <c r="I130" s="19"/>
      <c r="J130" s="19"/>
      <c r="K130" s="19"/>
      <c r="L130" s="19"/>
      <c r="M130" s="19"/>
      <c r="N130" s="19"/>
      <c r="O130" s="19"/>
      <c r="P130" s="19"/>
      <c r="Q130" s="19" t="str">
        <f>"Graph of custom effect vs "&amp;E51</f>
        <v>Graph of custom effect vs X2</v>
      </c>
      <c r="R130" s="19"/>
      <c r="S130" s="101"/>
      <c r="T130" s="34"/>
      <c r="U130" s="34"/>
      <c r="V130" s="392" t="s">
        <v>180</v>
      </c>
      <c r="W130" s="451" t="str">
        <f>IF(ISNUMBER(F131),F131,"")</f>
        <v/>
      </c>
      <c r="X130" s="19"/>
      <c r="Y130" s="19"/>
      <c r="Z130" s="19"/>
      <c r="AA130" s="19"/>
      <c r="AB130" s="19"/>
      <c r="AC130" s="19"/>
      <c r="AD130" s="19"/>
      <c r="AE130" s="19"/>
      <c r="AF130" s="19"/>
      <c r="AG130" s="19"/>
      <c r="AH130" s="19" t="str">
        <f>"  Graph of custom effect vs "&amp;E51</f>
        <v xml:space="preserve">  Graph of custom effect vs X2</v>
      </c>
      <c r="AI130" s="107"/>
      <c r="AJ130" s="34"/>
      <c r="AK130" s="34"/>
      <c r="AL130" s="19"/>
    </row>
    <row r="131" spans="1:38" x14ac:dyDescent="0.2">
      <c r="A131" s="19"/>
      <c r="B131" s="101"/>
      <c r="C131" s="34"/>
      <c r="D131" s="34"/>
      <c r="E131" s="394" t="s">
        <v>97</v>
      </c>
      <c r="F131" s="456"/>
      <c r="G131" s="19"/>
      <c r="H131" s="19"/>
      <c r="I131" s="19"/>
      <c r="J131" s="19"/>
      <c r="K131" s="131"/>
      <c r="L131" s="132"/>
      <c r="M131" s="133"/>
      <c r="N131" s="133"/>
      <c r="O131" s="133"/>
      <c r="P131" s="133"/>
      <c r="Q131" s="19" t="str">
        <f>IF(ISTEXT(D51),"  not adjusted for "&amp;D51,"")</f>
        <v xml:space="preserve">  not adjusted for X1</v>
      </c>
      <c r="R131" s="19"/>
      <c r="S131" s="101"/>
      <c r="T131" s="34"/>
      <c r="U131" s="34"/>
      <c r="V131" s="392" t="s">
        <v>182</v>
      </c>
      <c r="W131" s="130">
        <f>100*W132-100</f>
        <v>1.5956850173640618</v>
      </c>
      <c r="X131" s="19"/>
      <c r="Y131" s="19"/>
      <c r="Z131" s="19"/>
      <c r="AA131" s="19"/>
      <c r="AB131" s="19"/>
      <c r="AC131" s="19"/>
      <c r="AD131" s="19"/>
      <c r="AE131" s="19"/>
      <c r="AF131" s="19"/>
      <c r="AG131" s="19"/>
      <c r="AH131" s="19" t="str">
        <f>IF(ISTEXT(D51),"    not adjusted for "&amp;D51,"")</f>
        <v xml:space="preserve">    not adjusted for X1</v>
      </c>
      <c r="AI131" s="107"/>
      <c r="AJ131" s="34"/>
      <c r="AK131" s="34"/>
      <c r="AL131" s="19"/>
    </row>
    <row r="132" spans="1:38" ht="13.15" customHeight="1" x14ac:dyDescent="0.2">
      <c r="A132" s="19"/>
      <c r="B132" s="101"/>
      <c r="C132" s="34"/>
      <c r="D132" s="34"/>
      <c r="E132" s="392" t="s">
        <v>181</v>
      </c>
      <c r="F132" s="456"/>
      <c r="G132" s="19"/>
      <c r="H132" s="19"/>
      <c r="I132" s="19"/>
      <c r="J132" s="19"/>
      <c r="K132" s="138"/>
      <c r="L132" s="132"/>
      <c r="M132" s="139"/>
      <c r="N132" s="139"/>
      <c r="O132" s="139"/>
      <c r="P132" s="139"/>
      <c r="Q132" s="32" t="s">
        <v>139</v>
      </c>
      <c r="R132" s="19"/>
      <c r="S132" s="101"/>
      <c r="T132" s="34"/>
      <c r="U132" s="34"/>
      <c r="V132" s="392" t="s">
        <v>183</v>
      </c>
      <c r="W132" s="134">
        <f>EXP(IF(ISNUMBER(W129),W129,SQRT(SUMPRODUCT(W128:AA128,W128:AA128,W126:AA126)/COUNT(W128:AA128)))/100)</f>
        <v>1.0159568501736407</v>
      </c>
      <c r="X132" s="19"/>
      <c r="Y132" s="19"/>
      <c r="Z132" s="19"/>
      <c r="AA132" s="19"/>
      <c r="AB132" s="131"/>
      <c r="AC132" s="132"/>
      <c r="AD132" s="133"/>
      <c r="AE132" s="133"/>
      <c r="AF132" s="133"/>
      <c r="AG132" s="133"/>
      <c r="AH132" s="37" t="s">
        <v>141</v>
      </c>
      <c r="AI132" s="107"/>
      <c r="AJ132" s="34"/>
      <c r="AK132" s="34"/>
      <c r="AL132" s="19"/>
    </row>
    <row r="133" spans="1:38" ht="13.15" customHeight="1" x14ac:dyDescent="0.2">
      <c r="A133" s="19"/>
      <c r="B133" s="101"/>
      <c r="C133" s="34"/>
      <c r="D133" s="34"/>
      <c r="E133" s="112" t="s">
        <v>99</v>
      </c>
      <c r="F133" s="520">
        <f>IF(ISBLANK(F130),F129/(1-3/(4*(SUMPRODUCT(F120:J120,F126:J126)/SUM(F126:J126)-1)-1)),F130/(1-3/(4*(F131-1))))</f>
        <v>6.5158040766872549</v>
      </c>
      <c r="G133" s="19"/>
      <c r="H133" s="19"/>
      <c r="I133" s="19"/>
      <c r="J133" s="19"/>
      <c r="K133" s="138"/>
      <c r="L133" s="132"/>
      <c r="M133" s="139"/>
      <c r="N133" s="139"/>
      <c r="O133" s="139"/>
      <c r="P133" s="139"/>
      <c r="Q133" s="37" t="s">
        <v>140</v>
      </c>
      <c r="R133" s="19"/>
      <c r="S133" s="101"/>
      <c r="T133" s="34"/>
      <c r="U133" s="34"/>
      <c r="V133" s="112" t="s">
        <v>99</v>
      </c>
      <c r="W133" s="522">
        <f>IF(ISNUMBER(W129),W129/(1-3/(4*(W130-1))),SQRT(SUMPRODUCT(W128:AA128,W128:AA128,W126:AA126)/COUNT(W128:AA128))/(1-3/(4*(SUMPRODUCT(W120:AA120,W126:AA126)/SUM(W126:AA126)-1)-1)))</f>
        <v>1.6238680965328578</v>
      </c>
      <c r="X133" s="19"/>
      <c r="Y133" s="19"/>
      <c r="Z133" s="19"/>
      <c r="AA133" s="19"/>
      <c r="AB133" s="131"/>
      <c r="AC133" s="132"/>
      <c r="AD133" s="133"/>
      <c r="AE133" s="133"/>
      <c r="AF133" s="133"/>
      <c r="AG133" s="133"/>
      <c r="AH133" s="37" t="s">
        <v>142</v>
      </c>
      <c r="AI133" s="107"/>
      <c r="AJ133" s="34"/>
      <c r="AK133" s="34"/>
      <c r="AL133" s="19"/>
    </row>
    <row r="134" spans="1:38" ht="13.15" customHeight="1" x14ac:dyDescent="0.2">
      <c r="A134" s="19"/>
      <c r="B134" s="101"/>
      <c r="C134" s="34"/>
      <c r="D134" s="34"/>
      <c r="E134" s="452" t="s">
        <v>222</v>
      </c>
      <c r="F134" s="521">
        <f>IF(ISNUMBER(F130),F131-1,SUMPRODUCT(F120:J120,F126:J126)/SUM(F126:J126))</f>
        <v>31.102267715829143</v>
      </c>
      <c r="G134" s="19"/>
      <c r="H134" s="19"/>
      <c r="I134" s="19"/>
      <c r="J134" s="19"/>
      <c r="K134" s="138"/>
      <c r="L134" s="132"/>
      <c r="M134" s="139"/>
      <c r="N134" s="139"/>
      <c r="O134" s="139"/>
      <c r="P134" s="139"/>
      <c r="Q134" s="37"/>
      <c r="R134" s="19"/>
      <c r="S134" s="101"/>
      <c r="T134" s="34"/>
      <c r="U134" s="34"/>
      <c r="V134" s="452" t="s">
        <v>222</v>
      </c>
      <c r="W134" s="521">
        <f>IF(ISNUMBER(W130),W131-1,SUMPRODUCT(W120:AA120,W126:AA126)/SUM(W126:AA126))</f>
        <v>31.114935647404476</v>
      </c>
      <c r="X134" s="19"/>
      <c r="Y134" s="19"/>
      <c r="Z134" s="19"/>
      <c r="AA134" s="19"/>
      <c r="AB134" s="131"/>
      <c r="AC134" s="132"/>
      <c r="AD134" s="133"/>
      <c r="AE134" s="133"/>
      <c r="AF134" s="133"/>
      <c r="AG134" s="133"/>
      <c r="AH134" s="37"/>
      <c r="AI134" s="107"/>
      <c r="AJ134" s="34"/>
      <c r="AK134" s="34"/>
      <c r="AL134" s="19"/>
    </row>
    <row r="135" spans="1:38" ht="13.15" customHeight="1" x14ac:dyDescent="0.2">
      <c r="A135" s="19"/>
      <c r="B135" s="395"/>
      <c r="C135" s="396"/>
      <c r="D135" s="396"/>
      <c r="E135" s="111" t="s">
        <v>238</v>
      </c>
      <c r="F135" s="137">
        <f>IF(ISBLANK(F130),F129,F130)</f>
        <v>6.3521028428635944</v>
      </c>
      <c r="G135" s="19"/>
      <c r="H135" s="19"/>
      <c r="I135" s="19"/>
      <c r="J135" s="19"/>
      <c r="K135" s="138"/>
      <c r="L135" s="132"/>
      <c r="M135" s="139"/>
      <c r="N135" s="139"/>
      <c r="O135" s="139"/>
      <c r="P135" s="139"/>
      <c r="Q135" s="37"/>
      <c r="R135" s="19"/>
      <c r="S135" s="395"/>
      <c r="T135" s="396"/>
      <c r="U135" s="396"/>
      <c r="V135" s="111" t="s">
        <v>238</v>
      </c>
      <c r="W135" s="519">
        <f>IF(ISNUMBER(W129),W129,SQRT(SUMPRODUCT(W128:AA128,W128:AA128,W126:AA126)/COUNT(W128:AA128)))</f>
        <v>1.583087795286654</v>
      </c>
      <c r="X135" s="19"/>
      <c r="Y135" s="19"/>
      <c r="Z135" s="19"/>
      <c r="AA135" s="19"/>
      <c r="AB135" s="131"/>
      <c r="AC135" s="132"/>
      <c r="AD135" s="133"/>
      <c r="AE135" s="133"/>
      <c r="AF135" s="133"/>
      <c r="AG135" s="133"/>
      <c r="AH135" s="37"/>
      <c r="AI135" s="107"/>
      <c r="AJ135" s="34"/>
      <c r="AK135" s="34"/>
      <c r="AL135" s="19"/>
    </row>
    <row r="136" spans="1:38" s="332" customFormat="1" x14ac:dyDescent="0.2">
      <c r="A136" s="162"/>
      <c r="B136" s="384" t="str">
        <f>IF(F134&lt;9, "Compatibility limits and MBDs are not trustworthy for effects with marginally adequate precision","")</f>
        <v/>
      </c>
      <c r="C136" s="533"/>
      <c r="D136" s="533"/>
      <c r="E136" s="533"/>
      <c r="F136" s="534"/>
      <c r="G136" s="163"/>
      <c r="H136" s="163"/>
      <c r="I136" s="163"/>
      <c r="J136" s="163"/>
      <c r="K136" s="162"/>
      <c r="L136" s="164" t="s">
        <v>201</v>
      </c>
      <c r="M136" s="163"/>
      <c r="N136" s="163"/>
      <c r="O136" s="163"/>
      <c r="P136" s="163"/>
      <c r="Q136" s="162"/>
      <c r="R136" s="162"/>
      <c r="S136" s="384" t="str">
        <f>IF(W134&lt;9, "Compatibility limits and MBDs are not trustworthy for effects with marginally adequate precision","")</f>
        <v/>
      </c>
      <c r="T136" s="533"/>
      <c r="U136" s="533"/>
      <c r="V136" s="533"/>
      <c r="W136" s="534"/>
      <c r="X136" s="163"/>
      <c r="Y136" s="163"/>
      <c r="Z136" s="163"/>
      <c r="AA136" s="163"/>
      <c r="AB136" s="162"/>
      <c r="AC136" s="164" t="s">
        <v>201</v>
      </c>
      <c r="AD136" s="162"/>
      <c r="AE136" s="163"/>
      <c r="AF136" s="163"/>
      <c r="AG136" s="163"/>
      <c r="AH136" s="162"/>
      <c r="AI136" s="162"/>
      <c r="AJ136" s="162"/>
      <c r="AK136" s="162"/>
      <c r="AL136" s="162"/>
    </row>
    <row r="137" spans="1:38" s="332" customFormat="1" x14ac:dyDescent="0.2">
      <c r="A137" s="162"/>
      <c r="B137" s="384" t="str">
        <f>IF(F134&lt;9, "when sample size of standardizing SD is &lt;10 (DF &lt;9). See Sportscience 2019.","")</f>
        <v/>
      </c>
      <c r="C137" s="535"/>
      <c r="D137" s="534"/>
      <c r="E137" s="534"/>
      <c r="F137" s="534"/>
      <c r="G137" s="163"/>
      <c r="H137" s="163"/>
      <c r="I137" s="163"/>
      <c r="J137" s="163"/>
      <c r="K137" s="163"/>
      <c r="L137" s="165" t="s">
        <v>211</v>
      </c>
      <c r="M137" s="163">
        <f>M105-M72</f>
        <v>8.4500000000000064</v>
      </c>
      <c r="N137" s="163">
        <f>N105-N72</f>
        <v>8.4500000000000064</v>
      </c>
      <c r="O137" s="163">
        <f>O105-O72</f>
        <v>8.4041868456940136</v>
      </c>
      <c r="P137" s="163">
        <f>P105-P72</f>
        <v>8.4041868456940136</v>
      </c>
      <c r="Q137" s="162"/>
      <c r="R137" s="162"/>
      <c r="S137" s="384" t="str">
        <f>IF(W134&lt;9, "when sample size of standardizing SD is &lt;10 (DF &lt;9). See Sportscience 2019.","")</f>
        <v/>
      </c>
      <c r="T137" s="535"/>
      <c r="U137" s="534"/>
      <c r="V137" s="534"/>
      <c r="W137" s="534"/>
      <c r="X137" s="166"/>
      <c r="Y137" s="166"/>
      <c r="Z137" s="166"/>
      <c r="AA137" s="166"/>
      <c r="AB137" s="166"/>
      <c r="AC137" s="165" t="s">
        <v>212</v>
      </c>
      <c r="AD137" s="163">
        <f>AD105-AD72</f>
        <v>2.0664743902459746</v>
      </c>
      <c r="AE137" s="163">
        <f>AE105-AE72</f>
        <v>2.0664743902459746</v>
      </c>
      <c r="AF137" s="163">
        <f>AF105-AF72</f>
        <v>2.0428381357553747</v>
      </c>
      <c r="AG137" s="163">
        <f>AG105-AG72</f>
        <v>2.0428381357553747</v>
      </c>
      <c r="AH137" s="162"/>
      <c r="AI137" s="162"/>
      <c r="AJ137" s="162"/>
      <c r="AK137" s="162"/>
      <c r="AL137" s="162"/>
    </row>
    <row r="138" spans="1:38" s="332" customFormat="1" x14ac:dyDescent="0.2">
      <c r="A138" s="162"/>
      <c r="B138" s="162"/>
      <c r="C138" s="165"/>
      <c r="D138" s="167"/>
      <c r="E138" s="167"/>
      <c r="F138" s="167"/>
      <c r="G138" s="167"/>
      <c r="H138" s="167"/>
      <c r="I138" s="167"/>
      <c r="J138" s="167"/>
      <c r="K138" s="162"/>
      <c r="L138" s="165" t="s">
        <v>58</v>
      </c>
      <c r="M138" s="167">
        <f>AVERAGE(M75,M108)</f>
        <v>19</v>
      </c>
      <c r="N138" s="167">
        <f>AVERAGE(N75,N108)</f>
        <v>19</v>
      </c>
      <c r="O138" s="167">
        <f>AVERAGE(O75,O108)</f>
        <v>17</v>
      </c>
      <c r="P138" s="167">
        <f>AVERAGE(P75,P108)</f>
        <v>17</v>
      </c>
      <c r="Q138" s="162"/>
      <c r="R138" s="162"/>
      <c r="S138" s="162"/>
      <c r="T138" s="165"/>
      <c r="U138" s="165"/>
      <c r="V138" s="167"/>
      <c r="W138" s="167"/>
      <c r="X138" s="167"/>
      <c r="Y138" s="167"/>
      <c r="Z138" s="167"/>
      <c r="AA138" s="167"/>
      <c r="AB138" s="166"/>
      <c r="AC138" s="165" t="s">
        <v>58</v>
      </c>
      <c r="AD138" s="167">
        <f>AVERAGE(AD75,AD108)</f>
        <v>19</v>
      </c>
      <c r="AE138" s="167">
        <f>AVERAGE(AE75,AE108)</f>
        <v>19</v>
      </c>
      <c r="AF138" s="167">
        <f>AVERAGE(AF75,AF108)</f>
        <v>17</v>
      </c>
      <c r="AG138" s="167">
        <f>AVERAGE(AG75,AG108)</f>
        <v>17</v>
      </c>
      <c r="AH138" s="162"/>
      <c r="AI138" s="162"/>
      <c r="AJ138" s="162"/>
      <c r="AK138" s="162"/>
      <c r="AL138" s="162"/>
    </row>
    <row r="139" spans="1:38" s="332" customFormat="1" x14ac:dyDescent="0.2">
      <c r="A139" s="162"/>
      <c r="B139" s="162"/>
      <c r="C139" s="169"/>
      <c r="D139" s="170"/>
      <c r="E139" s="170"/>
      <c r="F139" s="170"/>
      <c r="G139" s="170"/>
      <c r="H139" s="170"/>
      <c r="I139" s="170"/>
      <c r="J139" s="170"/>
      <c r="K139" s="162"/>
      <c r="L139" s="169" t="s">
        <v>38</v>
      </c>
      <c r="M139" s="170">
        <f>SQRT(M74^2+M107^2-2*CORREL(M52:M71,M85:M104)*M74*M107)</f>
        <v>2.5163125694890152</v>
      </c>
      <c r="N139" s="170">
        <f>SQRT(N74^2+N107^2-2*CORREL(N52:N71,N85:N104)*N74*N107)</f>
        <v>2.5163125694890152</v>
      </c>
      <c r="O139" s="170">
        <f>SQRT(O74^2+O107^2-2*CORREL(N52:N71,N85:N104)*O74*O107)</f>
        <v>2.4127101766951893</v>
      </c>
      <c r="P139" s="170">
        <f>SQRT(P74^2+P107^2-2*CORREL(N52:N71,N85:N104)*P74*P107)</f>
        <v>2.4127101766951893</v>
      </c>
      <c r="Q139" s="162"/>
      <c r="R139" s="162"/>
      <c r="S139" s="162"/>
      <c r="T139" s="169"/>
      <c r="U139" s="169"/>
      <c r="V139" s="170"/>
      <c r="W139" s="170"/>
      <c r="X139" s="170"/>
      <c r="Y139" s="170"/>
      <c r="Z139" s="170"/>
      <c r="AA139" s="170"/>
      <c r="AB139" s="171"/>
      <c r="AC139" s="169" t="s">
        <v>38</v>
      </c>
      <c r="AD139" s="170">
        <f>SQRT(AD74^2+AD107^2-2*CORREL(AD52:AD71,AD85:AD104)*AD74*AD107)</f>
        <v>0.61480490835703616</v>
      </c>
      <c r="AE139" s="170">
        <f>SQRT(AE74^2+AE107^2-2*CORREL(AE52:AE71,AE85:AE104)*AE74*AE107)</f>
        <v>0.61480490835703616</v>
      </c>
      <c r="AF139" s="170">
        <f>SQRT(AF74^2+AF107^2-2*CORREL(AE52:AE71,AE85:AE104)*AF74*AF107)</f>
        <v>0.59103428966234506</v>
      </c>
      <c r="AG139" s="170">
        <f>SQRT(AG74^2+AG107^2-2*CORREL(AE52:AE71,AE85:AE104)*AG74*AG107)</f>
        <v>0.59103428966234506</v>
      </c>
      <c r="AH139" s="162"/>
      <c r="AI139" s="162"/>
      <c r="AJ139" s="162"/>
      <c r="AK139" s="162"/>
      <c r="AL139" s="162"/>
    </row>
    <row r="140" spans="1:38" s="332" customFormat="1" x14ac:dyDescent="0.2">
      <c r="A140" s="162"/>
      <c r="B140" s="162"/>
      <c r="C140" s="169"/>
      <c r="D140" s="170"/>
      <c r="E140" s="170"/>
      <c r="F140" s="170"/>
      <c r="G140" s="170"/>
      <c r="H140" s="170"/>
      <c r="I140" s="170"/>
      <c r="J140" s="170"/>
      <c r="K140" s="162"/>
      <c r="L140" s="169" t="s">
        <v>226</v>
      </c>
      <c r="M140" s="170">
        <f>SQRT(M139^2+M137^2/F134/2)/F133</f>
        <v>0.41973379628660912</v>
      </c>
      <c r="N140" s="170">
        <f>SQRT(N139^2+N137^2/F134/2)/F133</f>
        <v>0.41973379628660912</v>
      </c>
      <c r="O140" s="170">
        <f>SQRT(O139^2+O137^2/F134/2)/F133</f>
        <v>0.40479136969598867</v>
      </c>
      <c r="P140" s="170">
        <f>SQRT(P139^2+P137^2/F134/2)/F133</f>
        <v>0.40479136969598867</v>
      </c>
      <c r="Q140" s="162"/>
      <c r="R140" s="162"/>
      <c r="S140" s="162"/>
      <c r="T140" s="169"/>
      <c r="U140" s="169"/>
      <c r="V140" s="170"/>
      <c r="W140" s="170"/>
      <c r="X140" s="170"/>
      <c r="Y140" s="170"/>
      <c r="Z140" s="170"/>
      <c r="AA140" s="170"/>
      <c r="AB140" s="171"/>
      <c r="AC140" s="169" t="s">
        <v>226</v>
      </c>
      <c r="AD140" s="170">
        <f>SQRT(AD139^2+AD137^2/W134/2)/W133</f>
        <v>0.41153983539962269</v>
      </c>
      <c r="AE140" s="170">
        <f>SQRT(AE139^2+AE137^2/W134/2)/W133</f>
        <v>0.41153983539962269</v>
      </c>
      <c r="AF140" s="170">
        <f>SQRT(AF139^2+AF137^2/W134/2)/W133</f>
        <v>0.39737031394283062</v>
      </c>
      <c r="AG140" s="170">
        <f>SQRT(AG139^2+AG137^2/W134/2)/W133</f>
        <v>0.39737031394283062</v>
      </c>
      <c r="AH140" s="162"/>
      <c r="AI140" s="162"/>
      <c r="AJ140" s="162"/>
      <c r="AK140" s="162"/>
      <c r="AL140" s="162"/>
    </row>
    <row r="141" spans="1:38" s="332" customFormat="1" x14ac:dyDescent="0.2">
      <c r="A141" s="162"/>
      <c r="B141" s="162"/>
      <c r="C141" s="169"/>
      <c r="D141" s="170"/>
      <c r="E141" s="170"/>
      <c r="F141" s="170"/>
      <c r="G141" s="170"/>
      <c r="H141" s="170"/>
      <c r="I141" s="170"/>
      <c r="J141" s="170"/>
      <c r="K141" s="162"/>
      <c r="L141" s="169" t="s">
        <v>227</v>
      </c>
      <c r="M141" s="517">
        <f>(M139^2+M137^2/F134/2)^2/(M139^4/M138+(M137^2/F134/2)^2/F134)</f>
        <v>25.991442109125639</v>
      </c>
      <c r="N141" s="517">
        <f>(N139^2+N137^2/F134/2)^2/(N139^4/N138+(N137^2/F134/2)^2/F134)</f>
        <v>25.991442109125639</v>
      </c>
      <c r="O141" s="517">
        <f>(O139^2+O137^2/F134/2)^2/(O139^4/O138+(O137^2/F134/2)^2/F134)</f>
        <v>23.78408692885673</v>
      </c>
      <c r="P141" s="517">
        <f>(P139^2+P137^2/F134/2)^2/(P139^4/P138+(P137^2/F134/2)^2/F134)</f>
        <v>23.78408692885673</v>
      </c>
      <c r="Q141" s="162"/>
      <c r="R141" s="162"/>
      <c r="S141" s="162"/>
      <c r="T141" s="169"/>
      <c r="U141" s="169"/>
      <c r="V141" s="170"/>
      <c r="W141" s="170"/>
      <c r="X141" s="170"/>
      <c r="Y141" s="170"/>
      <c r="Z141" s="170"/>
      <c r="AA141" s="170"/>
      <c r="AB141" s="171"/>
      <c r="AC141" s="169" t="s">
        <v>227</v>
      </c>
      <c r="AD141" s="517">
        <f>(AD139^2+AD137^2/W134/2)^2/(AD139^4/AD138+(AD137^2/W134/2)^2/W134)</f>
        <v>26.001655007784763</v>
      </c>
      <c r="AE141" s="517">
        <f>(AE139^2+AE137^2/W134/2)^2/(AE139^4/AE138+(AE137^2/W134/2)^2/W134)</f>
        <v>26.001655007784763</v>
      </c>
      <c r="AF141" s="517">
        <f>(AF139^2+AF137^2/W134/2)^2/(AF139^4/AF138+(AF137^2/W134/2)^2/W134)</f>
        <v>23.676904812725006</v>
      </c>
      <c r="AG141" s="517">
        <f>(AG139^2+AG137^2/W134/2)^2/(AG139^4/AG138+(AG137^2/W134/2)^2/W134)</f>
        <v>23.676904812725006</v>
      </c>
      <c r="AH141" s="162"/>
      <c r="AI141" s="162"/>
      <c r="AJ141" s="162"/>
      <c r="AK141" s="162"/>
      <c r="AL141" s="162"/>
    </row>
    <row r="142" spans="1:38" s="331" customFormat="1" ht="16.149999999999999" customHeight="1" x14ac:dyDescent="0.2">
      <c r="A142" s="19"/>
      <c r="B142" s="49"/>
      <c r="C142" s="19"/>
      <c r="D142" s="19"/>
      <c r="E142" s="49"/>
      <c r="F142" s="19"/>
      <c r="G142" s="19"/>
      <c r="H142" s="19"/>
      <c r="I142" s="19"/>
      <c r="J142" s="19"/>
      <c r="K142" s="49"/>
      <c r="L142" s="19"/>
      <c r="M142" s="51" t="str">
        <f>CONCATENATE($B$85,"-",$B$52," change")</f>
        <v>Exptal-Control change</v>
      </c>
      <c r="N142" s="19"/>
      <c r="O142" s="19"/>
      <c r="P142" s="19"/>
      <c r="Q142" s="49"/>
      <c r="R142" s="49"/>
      <c r="S142" s="49"/>
      <c r="T142" s="19"/>
      <c r="U142" s="19"/>
      <c r="V142" s="19"/>
      <c r="W142" s="49"/>
      <c r="X142" s="51"/>
      <c r="Y142" s="51"/>
      <c r="Z142" s="51"/>
      <c r="AA142" s="51"/>
      <c r="AB142" s="49"/>
      <c r="AC142" s="18"/>
      <c r="AD142" s="51" t="str">
        <f>CONCATENATE($B$85,"-",$B$52," change")</f>
        <v>Exptal-Control change</v>
      </c>
      <c r="AE142" s="46"/>
      <c r="AF142" s="46"/>
      <c r="AG142" s="46"/>
      <c r="AH142" s="49"/>
      <c r="AI142" s="49"/>
      <c r="AJ142" s="49"/>
      <c r="AK142" s="49"/>
      <c r="AL142" s="49"/>
    </row>
    <row r="143" spans="1:38" ht="16.5" x14ac:dyDescent="0.2">
      <c r="A143" s="19"/>
      <c r="B143" s="51" t="s">
        <v>3</v>
      </c>
      <c r="C143" s="19"/>
      <c r="D143" s="51" t="str">
        <f>CONCATENATE($B$85,"-",$B$52," change")</f>
        <v>Exptal-Control change</v>
      </c>
      <c r="E143" s="19"/>
      <c r="F143" s="19"/>
      <c r="G143" s="19"/>
      <c r="H143" s="19"/>
      <c r="I143" s="19"/>
      <c r="J143" s="19"/>
      <c r="K143" s="51" t="s">
        <v>3</v>
      </c>
      <c r="L143" s="51"/>
      <c r="M143" s="565" t="s">
        <v>100</v>
      </c>
      <c r="N143" s="565"/>
      <c r="O143" s="565" t="s">
        <v>101</v>
      </c>
      <c r="P143" s="565"/>
      <c r="Q143" s="19"/>
      <c r="R143" s="19"/>
      <c r="S143" s="51" t="s">
        <v>4</v>
      </c>
      <c r="T143" s="19"/>
      <c r="U143" s="51" t="str">
        <f>CONCATENATE($B$85,"-",$B$52," change")</f>
        <v>Exptal-Control change</v>
      </c>
      <c r="V143" s="19"/>
      <c r="W143" s="49"/>
      <c r="X143" s="19"/>
      <c r="Y143" s="19"/>
      <c r="Z143" s="19"/>
      <c r="AA143" s="19"/>
      <c r="AB143" s="51" t="s">
        <v>4</v>
      </c>
      <c r="AC143" s="51"/>
      <c r="AD143" s="565" t="s">
        <v>100</v>
      </c>
      <c r="AE143" s="565"/>
      <c r="AF143" s="565" t="s">
        <v>101</v>
      </c>
      <c r="AG143" s="565"/>
      <c r="AH143" s="19"/>
      <c r="AI143" s="48"/>
      <c r="AJ143" s="34"/>
      <c r="AK143" s="34"/>
      <c r="AL143" s="19"/>
    </row>
    <row r="144" spans="1:38" s="14" customFormat="1" ht="41.45" customHeight="1" x14ac:dyDescent="0.2">
      <c r="A144" s="49"/>
      <c r="B144" s="614" t="s">
        <v>228</v>
      </c>
      <c r="C144" s="615"/>
      <c r="D144" s="457" t="str">
        <f>D51</f>
        <v>X1</v>
      </c>
      <c r="E144" s="457" t="str">
        <f>E51</f>
        <v>X2</v>
      </c>
      <c r="F144" s="458"/>
      <c r="G144" s="458"/>
      <c r="H144" s="458"/>
      <c r="I144" s="458"/>
      <c r="J144" s="459"/>
      <c r="K144" s="611" t="s">
        <v>203</v>
      </c>
      <c r="L144" s="612"/>
      <c r="M144" s="184" t="str">
        <f>M50</f>
        <v>Custom effect, not adjusted</v>
      </c>
      <c r="N144" s="184" t="str">
        <f>N50</f>
        <v>Custom effect, not adjusted</v>
      </c>
      <c r="O144" s="184" t="str">
        <f>O50</f>
        <v>Custom effect, adjusted</v>
      </c>
      <c r="P144" s="184" t="str">
        <f>P50</f>
        <v>Custom effect, adjusted</v>
      </c>
      <c r="Q144" s="52"/>
      <c r="R144" s="52"/>
      <c r="S144" s="614" t="s">
        <v>236</v>
      </c>
      <c r="T144" s="615"/>
      <c r="U144" s="457" t="str">
        <f>U51</f>
        <v>X1</v>
      </c>
      <c r="V144" s="457" t="str">
        <f>V51</f>
        <v>X2</v>
      </c>
      <c r="W144" s="458"/>
      <c r="X144" s="458"/>
      <c r="Y144" s="458"/>
      <c r="Z144" s="458"/>
      <c r="AA144" s="459"/>
      <c r="AB144" s="611" t="s">
        <v>204</v>
      </c>
      <c r="AC144" s="612"/>
      <c r="AD144" s="184" t="str">
        <f>AD50</f>
        <v>Custom effect, not adjusted</v>
      </c>
      <c r="AE144" s="184" t="str">
        <f>AE50</f>
        <v>Custom effect, not adjusted</v>
      </c>
      <c r="AF144" s="184" t="str">
        <f>AF50</f>
        <v>Custom effect, adjusted</v>
      </c>
      <c r="AG144" s="184" t="str">
        <f>AG50</f>
        <v>Custom effect, adjusted</v>
      </c>
      <c r="AH144" s="52"/>
      <c r="AI144" s="52"/>
      <c r="AJ144" s="52"/>
      <c r="AK144" s="52"/>
      <c r="AL144" s="52"/>
    </row>
    <row r="145" spans="1:38" s="8" customFormat="1" x14ac:dyDescent="0.2">
      <c r="A145" s="37"/>
      <c r="B145" s="460"/>
      <c r="C145" s="461"/>
      <c r="D145" s="458"/>
      <c r="E145" s="458"/>
      <c r="F145" s="458"/>
      <c r="G145" s="458"/>
      <c r="H145" s="458"/>
      <c r="I145" s="458"/>
      <c r="J145" s="459"/>
      <c r="K145" s="151"/>
      <c r="L145" s="176" t="s">
        <v>240</v>
      </c>
      <c r="M145" s="172">
        <f>$F$42</f>
        <v>0</v>
      </c>
      <c r="N145" s="172">
        <f>$F$42</f>
        <v>0</v>
      </c>
      <c r="O145" s="172">
        <f>$F$42</f>
        <v>0</v>
      </c>
      <c r="P145" s="172">
        <f>$F$42</f>
        <v>0</v>
      </c>
      <c r="Q145" s="37"/>
      <c r="R145" s="37"/>
      <c r="S145" s="460"/>
      <c r="T145" s="461"/>
      <c r="U145" s="461"/>
      <c r="V145" s="458"/>
      <c r="W145" s="458"/>
      <c r="X145" s="458"/>
      <c r="Y145" s="458"/>
      <c r="Z145" s="458"/>
      <c r="AA145" s="459"/>
      <c r="AB145" s="151"/>
      <c r="AC145" s="176" t="s">
        <v>240</v>
      </c>
      <c r="AD145" s="172">
        <f>$F$42</f>
        <v>0</v>
      </c>
      <c r="AE145" s="172">
        <f>$F$42</f>
        <v>0</v>
      </c>
      <c r="AF145" s="172">
        <f>$F$42</f>
        <v>0</v>
      </c>
      <c r="AG145" s="172">
        <f>$F$42</f>
        <v>0</v>
      </c>
      <c r="AH145" s="37"/>
      <c r="AI145" s="37"/>
      <c r="AJ145" s="37"/>
      <c r="AK145" s="37"/>
      <c r="AL145" s="37"/>
    </row>
    <row r="146" spans="1:38" s="8" customFormat="1" x14ac:dyDescent="0.2">
      <c r="A146" s="37"/>
      <c r="B146" s="462"/>
      <c r="C146" s="463"/>
      <c r="D146" s="464"/>
      <c r="E146" s="464"/>
      <c r="F146" s="464"/>
      <c r="G146" s="464"/>
      <c r="H146" s="464"/>
      <c r="I146" s="464"/>
      <c r="J146" s="465"/>
      <c r="K146" s="151"/>
      <c r="L146" s="176" t="s">
        <v>62</v>
      </c>
      <c r="M146" s="175">
        <f>M138</f>
        <v>19</v>
      </c>
      <c r="N146" s="404">
        <f>N138</f>
        <v>19</v>
      </c>
      <c r="O146" s="404">
        <f>O138</f>
        <v>17</v>
      </c>
      <c r="P146" s="404">
        <f>P138</f>
        <v>17</v>
      </c>
      <c r="Q146" s="37"/>
      <c r="R146" s="37"/>
      <c r="S146" s="462"/>
      <c r="T146" s="463"/>
      <c r="U146" s="463"/>
      <c r="V146" s="464"/>
      <c r="W146" s="464"/>
      <c r="X146" s="464"/>
      <c r="Y146" s="464"/>
      <c r="Z146" s="464"/>
      <c r="AA146" s="465"/>
      <c r="AB146" s="151"/>
      <c r="AC146" s="176" t="s">
        <v>62</v>
      </c>
      <c r="AD146" s="175">
        <f>AD138</f>
        <v>19</v>
      </c>
      <c r="AE146" s="404">
        <f>AE138</f>
        <v>19</v>
      </c>
      <c r="AF146" s="404">
        <f>AF138</f>
        <v>17</v>
      </c>
      <c r="AG146" s="404">
        <f>AG138</f>
        <v>17</v>
      </c>
      <c r="AH146" s="37"/>
      <c r="AI146" s="37"/>
      <c r="AJ146" s="37"/>
      <c r="AK146" s="37"/>
      <c r="AL146" s="37"/>
    </row>
    <row r="147" spans="1:38" s="8" customFormat="1" ht="12.95" customHeight="1" x14ac:dyDescent="0.2">
      <c r="A147" s="37"/>
      <c r="B147" s="466"/>
      <c r="C147" s="392" t="s">
        <v>223</v>
      </c>
      <c r="D147" s="467">
        <f>D105-D72</f>
        <v>-0.17999999999999972</v>
      </c>
      <c r="E147" s="467">
        <f>E105-E72</f>
        <v>-2.2400000000001228</v>
      </c>
      <c r="F147" s="468"/>
      <c r="G147" s="468"/>
      <c r="H147" s="468"/>
      <c r="I147" s="468"/>
      <c r="J147" s="469"/>
      <c r="K147" s="151"/>
      <c r="L147" s="176" t="s">
        <v>207</v>
      </c>
      <c r="M147" s="177">
        <f>M137</f>
        <v>8.4500000000000064</v>
      </c>
      <c r="N147" s="177">
        <f>N137</f>
        <v>8.4500000000000064</v>
      </c>
      <c r="O147" s="177">
        <f>O137</f>
        <v>8.4041868456940136</v>
      </c>
      <c r="P147" s="177">
        <f>P137</f>
        <v>8.4041868456940136</v>
      </c>
      <c r="Q147" s="37"/>
      <c r="R147" s="37"/>
      <c r="S147" s="466"/>
      <c r="T147" s="392" t="s">
        <v>224</v>
      </c>
      <c r="U147" s="467" t="str">
        <f>IF(U118=D118,"",100*EXP((U105-U72)/100)-100)</f>
        <v/>
      </c>
      <c r="V147" s="467">
        <f>100*EXP((U105-U72)/100)-100</f>
        <v>-0.17983809715627785</v>
      </c>
      <c r="W147" s="468"/>
      <c r="X147" s="468"/>
      <c r="Y147" s="468"/>
      <c r="Z147" s="468"/>
      <c r="AA147" s="469"/>
      <c r="AB147" s="151"/>
      <c r="AC147" s="176" t="s">
        <v>208</v>
      </c>
      <c r="AD147" s="177">
        <f t="shared" ref="AD147:AG149" si="138">100*EXP(AD266/100)-100</f>
        <v>2.0879738102330947</v>
      </c>
      <c r="AE147" s="177">
        <f t="shared" si="138"/>
        <v>2.0879738102330947</v>
      </c>
      <c r="AF147" s="177">
        <f t="shared" si="138"/>
        <v>2.0638468884016419</v>
      </c>
      <c r="AG147" s="177">
        <f t="shared" si="138"/>
        <v>2.0638468884016419</v>
      </c>
      <c r="AH147" s="37"/>
      <c r="AI147" s="37"/>
      <c r="AJ147" s="37"/>
      <c r="AK147" s="37"/>
      <c r="AL147" s="37"/>
    </row>
    <row r="148" spans="1:38" s="8" customFormat="1" ht="12.95" customHeight="1" x14ac:dyDescent="0.2">
      <c r="A148" s="37"/>
      <c r="B148" s="617"/>
      <c r="C148" s="470"/>
      <c r="D148" s="471"/>
      <c r="E148" s="471"/>
      <c r="F148" s="471"/>
      <c r="G148" s="471"/>
      <c r="H148" s="471"/>
      <c r="I148" s="471"/>
      <c r="J148" s="472"/>
      <c r="K148" s="648" t="s">
        <v>241</v>
      </c>
      <c r="L148" s="405" t="s">
        <v>8</v>
      </c>
      <c r="M148" s="179">
        <f>M147-TINV((100-M145)/100,M146)*M139</f>
        <v>8.4500000000000064</v>
      </c>
      <c r="N148" s="179">
        <f>N147-TINV((100-N145)/100,N146)*N139</f>
        <v>8.4500000000000064</v>
      </c>
      <c r="O148" s="179">
        <f>O147-TINV((100-O145)/100,O146)*O139</f>
        <v>8.4041868456940136</v>
      </c>
      <c r="P148" s="179">
        <f>P147-TINV((100-P145)/100,P146)*P139</f>
        <v>8.4041868456940136</v>
      </c>
      <c r="Q148" s="37"/>
      <c r="R148" s="37"/>
      <c r="S148" s="617"/>
      <c r="T148" s="470"/>
      <c r="U148" s="471"/>
      <c r="V148" s="471"/>
      <c r="W148" s="471"/>
      <c r="X148" s="471"/>
      <c r="Y148" s="471"/>
      <c r="Z148" s="471"/>
      <c r="AA148" s="472"/>
      <c r="AB148" s="568" t="s">
        <v>242</v>
      </c>
      <c r="AC148" s="405" t="s">
        <v>8</v>
      </c>
      <c r="AD148" s="179">
        <f t="shared" si="138"/>
        <v>2.0879738102330947</v>
      </c>
      <c r="AE148" s="179">
        <f t="shared" si="138"/>
        <v>2.0879738102330947</v>
      </c>
      <c r="AF148" s="179">
        <f t="shared" si="138"/>
        <v>2.0638468884016419</v>
      </c>
      <c r="AG148" s="179">
        <f t="shared" si="138"/>
        <v>2.0638468884016419</v>
      </c>
      <c r="AH148" s="37"/>
      <c r="AI148" s="37"/>
      <c r="AJ148" s="37"/>
      <c r="AK148" s="37"/>
      <c r="AL148" s="37"/>
    </row>
    <row r="149" spans="1:38" s="8" customFormat="1" x14ac:dyDescent="0.2">
      <c r="A149" s="37"/>
      <c r="B149" s="618"/>
      <c r="C149" s="473"/>
      <c r="D149" s="474"/>
      <c r="E149" s="474"/>
      <c r="F149" s="474"/>
      <c r="G149" s="474"/>
      <c r="H149" s="474"/>
      <c r="I149" s="474"/>
      <c r="J149" s="475"/>
      <c r="K149" s="649"/>
      <c r="L149" s="406" t="s">
        <v>9</v>
      </c>
      <c r="M149" s="181">
        <f>M147+TINV((100-M145)/100,M146)*M139</f>
        <v>8.4500000000000064</v>
      </c>
      <c r="N149" s="181">
        <f>N147+TINV((100-N145)/100,N146)*N139</f>
        <v>8.4500000000000064</v>
      </c>
      <c r="O149" s="181">
        <f>O147+TINV((100-O145)/100,O146)*O139</f>
        <v>8.4041868456940136</v>
      </c>
      <c r="P149" s="181">
        <f>P147+TINV((100-P145)/100,P146)*P139</f>
        <v>8.4041868456940136</v>
      </c>
      <c r="Q149" s="37"/>
      <c r="R149" s="37"/>
      <c r="S149" s="618"/>
      <c r="T149" s="473"/>
      <c r="U149" s="474"/>
      <c r="V149" s="474"/>
      <c r="W149" s="474"/>
      <c r="X149" s="474"/>
      <c r="Y149" s="474"/>
      <c r="Z149" s="474"/>
      <c r="AA149" s="475"/>
      <c r="AB149" s="569"/>
      <c r="AC149" s="406" t="s">
        <v>9</v>
      </c>
      <c r="AD149" s="181">
        <f t="shared" si="138"/>
        <v>2.0879738102330947</v>
      </c>
      <c r="AE149" s="181">
        <f t="shared" si="138"/>
        <v>2.0879738102330947</v>
      </c>
      <c r="AF149" s="181">
        <f t="shared" si="138"/>
        <v>2.0638468884016419</v>
      </c>
      <c r="AG149" s="181">
        <f t="shared" si="138"/>
        <v>2.0638468884016419</v>
      </c>
      <c r="AH149" s="37"/>
      <c r="AI149" s="37"/>
      <c r="AJ149" s="37"/>
      <c r="AK149" s="37"/>
      <c r="AL149" s="37"/>
    </row>
    <row r="150" spans="1:38" s="8" customFormat="1" ht="12.95" customHeight="1" x14ac:dyDescent="0.2">
      <c r="A150" s="37"/>
      <c r="B150" s="618"/>
      <c r="C150" s="476"/>
      <c r="D150" s="477"/>
      <c r="E150" s="477"/>
      <c r="F150" s="477"/>
      <c r="G150" s="477"/>
      <c r="H150" s="477"/>
      <c r="I150" s="477"/>
      <c r="J150" s="478"/>
      <c r="K150" s="650"/>
      <c r="L150" s="182" t="s">
        <v>10</v>
      </c>
      <c r="M150" s="183">
        <f>(M149-M148)/2</f>
        <v>0</v>
      </c>
      <c r="N150" s="183">
        <f>(N149-N148)/2</f>
        <v>0</v>
      </c>
      <c r="O150" s="183">
        <f>(O149-O148)/2</f>
        <v>0</v>
      </c>
      <c r="P150" s="183">
        <f>(P149-P148)/2</f>
        <v>0</v>
      </c>
      <c r="Q150" s="37"/>
      <c r="R150" s="37"/>
      <c r="S150" s="618"/>
      <c r="T150" s="476"/>
      <c r="U150" s="477"/>
      <c r="V150" s="477"/>
      <c r="W150" s="477"/>
      <c r="X150" s="477"/>
      <c r="Y150" s="477"/>
      <c r="Z150" s="477"/>
      <c r="AA150" s="478"/>
      <c r="AB150" s="570"/>
      <c r="AC150" s="182" t="s">
        <v>37</v>
      </c>
      <c r="AD150" s="188">
        <f>(AD149-AD148)/2</f>
        <v>0</v>
      </c>
      <c r="AE150" s="188">
        <f>(AE149-AE148)/2</f>
        <v>0</v>
      </c>
      <c r="AF150" s="188">
        <f>(AF149-AF148)/2</f>
        <v>0</v>
      </c>
      <c r="AG150" s="188">
        <f>(AG149-AG148)/2</f>
        <v>0</v>
      </c>
      <c r="AH150" s="37"/>
      <c r="AI150" s="37"/>
      <c r="AJ150" s="37"/>
      <c r="AK150" s="37"/>
      <c r="AL150" s="37"/>
    </row>
    <row r="151" spans="1:38" s="6" customFormat="1" ht="12.95" customHeight="1" x14ac:dyDescent="0.2">
      <c r="A151" s="32"/>
      <c r="B151" s="616"/>
      <c r="C151" s="479"/>
      <c r="D151" s="480"/>
      <c r="E151" s="480"/>
      <c r="F151" s="480"/>
      <c r="G151" s="480"/>
      <c r="H151" s="480"/>
      <c r="I151" s="480"/>
      <c r="J151" s="481"/>
      <c r="K151" s="596" t="s">
        <v>245</v>
      </c>
      <c r="L151" s="407" t="str">
        <f>"+ive or "&amp;IF($C$36&gt;0,"harmful","beneficial")</f>
        <v>+ive or beneficial</v>
      </c>
      <c r="M151" s="408" t="str">
        <f>IF(ISBLANK($C$36),"",MAX($C$36,$D$36))</f>
        <v/>
      </c>
      <c r="N151" s="408" t="str">
        <f>IF(ISBLANK($C$36),"",MAX($C$36,$D$36))</f>
        <v/>
      </c>
      <c r="O151" s="408" t="str">
        <f>IF(ISBLANK($C$36),"",MAX($C$36,$D$36))</f>
        <v/>
      </c>
      <c r="P151" s="408" t="str">
        <f>IF(ISBLANK($C$36),"",MAX($C$36,$D$36))</f>
        <v/>
      </c>
      <c r="Q151" s="32"/>
      <c r="R151" s="32"/>
      <c r="S151" s="616"/>
      <c r="T151" s="479"/>
      <c r="U151" s="480"/>
      <c r="V151" s="480"/>
      <c r="W151" s="480"/>
      <c r="X151" s="480"/>
      <c r="Y151" s="480"/>
      <c r="Z151" s="480"/>
      <c r="AA151" s="481"/>
      <c r="AB151" s="596" t="s">
        <v>245</v>
      </c>
      <c r="AC151" s="407" t="str">
        <f>"+ive or "&amp;IF($C$37&gt;0,"harmful","beneficial")</f>
        <v>+ive or beneficial</v>
      </c>
      <c r="AD151" s="418" t="str">
        <f>IF(ISBLANK($C$37),"",MAX($C$37,$D$37))</f>
        <v/>
      </c>
      <c r="AE151" s="418" t="str">
        <f>IF(ISBLANK($C$37),"",MAX($C$37,$D$37))</f>
        <v/>
      </c>
      <c r="AF151" s="418" t="str">
        <f>IF(ISBLANK($C$37),"",MAX($C$37,$D$37))</f>
        <v/>
      </c>
      <c r="AG151" s="418" t="str">
        <f>IF(ISBLANK($C$37),"",MAX($C$37,$D$37))</f>
        <v/>
      </c>
      <c r="AH151" s="32"/>
      <c r="AI151" s="32"/>
      <c r="AJ151" s="32"/>
      <c r="AK151" s="32"/>
      <c r="AL151" s="32"/>
    </row>
    <row r="152" spans="1:38" s="6" customFormat="1" ht="12.95" customHeight="1" x14ac:dyDescent="0.2">
      <c r="A152" s="32"/>
      <c r="B152" s="616"/>
      <c r="C152" s="482"/>
      <c r="D152" s="480"/>
      <c r="E152" s="480"/>
      <c r="F152" s="480"/>
      <c r="G152" s="480"/>
      <c r="H152" s="480"/>
      <c r="I152" s="480"/>
      <c r="J152" s="481"/>
      <c r="K152" s="613"/>
      <c r="L152" s="409" t="str">
        <f>"-ive or "&amp;IF($C$36&lt;0,"harmful","beneficial")</f>
        <v>-ive or beneficial</v>
      </c>
      <c r="M152" s="408" t="str">
        <f>IF(ISBLANK($C$36),"",MIN($C$36,$D$36))</f>
        <v/>
      </c>
      <c r="N152" s="408" t="str">
        <f>IF(ISBLANK($C$36),"",MIN($C$36,$D$36))</f>
        <v/>
      </c>
      <c r="O152" s="408" t="str">
        <f>IF(ISBLANK($C$36),"",MIN($C$36,$D$36))</f>
        <v/>
      </c>
      <c r="P152" s="408" t="str">
        <f>IF(ISBLANK($C$36),"",MIN($C$36,$D$36))</f>
        <v/>
      </c>
      <c r="Q152" s="32"/>
      <c r="R152" s="32"/>
      <c r="S152" s="616"/>
      <c r="T152" s="482"/>
      <c r="U152" s="480"/>
      <c r="V152" s="480"/>
      <c r="W152" s="480"/>
      <c r="X152" s="480"/>
      <c r="Y152" s="480"/>
      <c r="Z152" s="480"/>
      <c r="AA152" s="481"/>
      <c r="AB152" s="613"/>
      <c r="AC152" s="409" t="str">
        <f>"-ive or "&amp;IF($C$37&lt;0,"harmful","beneficial")</f>
        <v>-ive or beneficial</v>
      </c>
      <c r="AD152" s="418" t="str">
        <f>IF(ISBLANK($C$37),"",MIN($C$37,$D$37))</f>
        <v/>
      </c>
      <c r="AE152" s="418" t="str">
        <f>IF(ISBLANK($C$37),"",MIN($C$37,$D$37))</f>
        <v/>
      </c>
      <c r="AF152" s="418" t="str">
        <f>IF(ISBLANK($C$37),"",MIN($C$37,$D$37))</f>
        <v/>
      </c>
      <c r="AG152" s="418" t="str">
        <f>IF(ISBLANK($C$37),"",MIN($C$37,$D$37))</f>
        <v/>
      </c>
      <c r="AH152" s="32"/>
      <c r="AI152" s="32"/>
      <c r="AJ152" s="32"/>
      <c r="AK152" s="32"/>
      <c r="AL152" s="32"/>
    </row>
    <row r="153" spans="1:38" s="6" customFormat="1" ht="12.95" customHeight="1" x14ac:dyDescent="0.2">
      <c r="A153" s="32"/>
      <c r="B153" s="616"/>
      <c r="C153" s="604"/>
      <c r="D153" s="483"/>
      <c r="E153" s="483"/>
      <c r="F153" s="483"/>
      <c r="G153" s="483"/>
      <c r="H153" s="483"/>
      <c r="I153" s="483"/>
      <c r="J153" s="484"/>
      <c r="K153" s="596" t="s">
        <v>135</v>
      </c>
      <c r="L153" s="600" t="str">
        <f>"substantially positive (+ive) or "&amp;IF($C$36&gt;0,"harmful","beneficial")</f>
        <v>substantially positive (+ive) or beneficial</v>
      </c>
      <c r="M153" s="668" t="e">
        <f>IF(ISERROR(TDIST((M151-M147)/M139,M146,1)),1-TDIST((M147-M151)/M139,M146,1),TDIST((M151-M147)/M139,M146,1))*100</f>
        <v>#VALUE!</v>
      </c>
      <c r="N153" s="668" t="e">
        <f>IF(ISERROR(TDIST((N151-N147)/N139,N146,1)),1-TDIST((N147-N151)/N139,N146,1),TDIST((N151-N147)/N139,N146,1))*100</f>
        <v>#VALUE!</v>
      </c>
      <c r="O153" s="668" t="e">
        <f>IF(ISERROR(TDIST((O151-O147)/O139,O146,1)),1-TDIST((O147-O151)/O139,O146,1),TDIST((O151-O147)/O139,O146,1))*100</f>
        <v>#VALUE!</v>
      </c>
      <c r="P153" s="668" t="e">
        <f>IF(ISERROR(TDIST((P151-P147)/P139,P146,1)),1-TDIST((P147-P151)/P139,P146,1),TDIST((P151-P147)/P139,P146,1))*100</f>
        <v>#VALUE!</v>
      </c>
      <c r="Q153" s="32"/>
      <c r="R153" s="32"/>
      <c r="S153" s="616"/>
      <c r="T153" s="604"/>
      <c r="U153" s="483"/>
      <c r="V153" s="483"/>
      <c r="W153" s="483"/>
      <c r="X153" s="483"/>
      <c r="Y153" s="483"/>
      <c r="Z153" s="483"/>
      <c r="AA153" s="484"/>
      <c r="AB153" s="596" t="s">
        <v>135</v>
      </c>
      <c r="AC153" s="600" t="str">
        <f>"substantially positive (+ive) or "&amp;IF($C$37&gt;0,"harmful","beneficial")</f>
        <v>substantially positive (+ive) or beneficial</v>
      </c>
      <c r="AD153" s="668" t="e">
        <f>IF(ISERROR(TDIST((100*LN(1+AD151/100)-AD$137)/AD$139,AD146,1)),1-TDIST((AD$137-100*LN(1+AD151/100))/AD$139,AD146,1),TDIST((100*LN(1+AD151/100)-AD$137)/AD$139,AD146,1))*100</f>
        <v>#VALUE!</v>
      </c>
      <c r="AE153" s="668" t="e">
        <f>IF(ISERROR(TDIST((100*LN(1+AE151/100)-AE$137)/AE$139,AE146,1)),1-TDIST((AE$137-100*LN(1+AE151/100))/AE$139,AE146,1),TDIST((100*LN(1+AE151/100)-AE$137)/AE$139,AE146,1))*100</f>
        <v>#VALUE!</v>
      </c>
      <c r="AF153" s="668" t="e">
        <f>IF(ISERROR(TDIST((100*LN(1+AF151/100)-AF$137)/AF$139,AF146,1)),1-TDIST((AF$137-100*LN(1+AF151/100))/AF$139,AF146,1),TDIST((100*LN(1+AF151/100)-AF$137)/AF$139,AF146,1))*100</f>
        <v>#VALUE!</v>
      </c>
      <c r="AG153" s="668" t="e">
        <f>IF(ISERROR(TDIST((100*LN(1+AG151/100)-AG$137)/AG$139,AG146,1)),1-TDIST((AG$137-100*LN(1+AG151/100))/AG$139,AG146,1),TDIST((100*LN(1+AG151/100)-AG$137)/AG$139,AG146,1))*100</f>
        <v>#VALUE!</v>
      </c>
      <c r="AH153" s="32"/>
      <c r="AI153" s="32"/>
      <c r="AJ153" s="32"/>
      <c r="AK153" s="32"/>
      <c r="AL153" s="32"/>
    </row>
    <row r="154" spans="1:38" s="6" customFormat="1" ht="30.95" customHeight="1" x14ac:dyDescent="0.2">
      <c r="A154" s="32"/>
      <c r="B154" s="616"/>
      <c r="C154" s="605"/>
      <c r="D154" s="485"/>
      <c r="E154" s="485"/>
      <c r="F154" s="485"/>
      <c r="G154" s="485"/>
      <c r="H154" s="485"/>
      <c r="I154" s="485"/>
      <c r="J154" s="486"/>
      <c r="K154" s="597"/>
      <c r="L154" s="601"/>
      <c r="M154" s="410" t="e">
        <f>IF(M153&lt;0.5,"most unlikely",IF(M153&lt;5,"very unlikely",IF(M153&lt;25,"unlikely",IF(M153&lt;75,"possibly",IF(M153&lt;95,"likely",IF(M153&lt;99.5,"very likely","most likely"))))))</f>
        <v>#VALUE!</v>
      </c>
      <c r="N154" s="410" t="e">
        <f>IF(N153&lt;0.5,"most unlikely",IF(N153&lt;5,"very unlikely",IF(N153&lt;25,"unlikely",IF(N153&lt;75,"possibly",IF(N153&lt;95,"likely",IF(N153&lt;99.5,"very likely","most likely"))))))</f>
        <v>#VALUE!</v>
      </c>
      <c r="O154" s="410" t="e">
        <f>IF(O153&lt;0.5,"most unlikely",IF(O153&lt;5,"very unlikely",IF(O153&lt;25,"unlikely",IF(O153&lt;75,"possibly",IF(O153&lt;95,"likely",IF(O153&lt;99.5,"very likely","most likely"))))))</f>
        <v>#VALUE!</v>
      </c>
      <c r="P154" s="410" t="e">
        <f>IF(P153&lt;0.5,"most unlikely",IF(P153&lt;5,"very unlikely",IF(P153&lt;25,"unlikely",IF(P153&lt;75,"possibly",IF(P153&lt;95,"likely",IF(P153&lt;99.5,"very likely","most likely"))))))</f>
        <v>#VALUE!</v>
      </c>
      <c r="Q154" s="32" t="str">
        <f>"  Graph of custom effect vs "&amp;D51</f>
        <v xml:space="preserve">  Graph of custom effect vs X1</v>
      </c>
      <c r="R154" s="32"/>
      <c r="S154" s="616"/>
      <c r="T154" s="605"/>
      <c r="U154" s="485"/>
      <c r="V154" s="485"/>
      <c r="W154" s="485"/>
      <c r="X154" s="485"/>
      <c r="Y154" s="485"/>
      <c r="Z154" s="485"/>
      <c r="AA154" s="486"/>
      <c r="AB154" s="597"/>
      <c r="AC154" s="601"/>
      <c r="AD154" s="410" t="e">
        <f>IF(AD153&lt;0.5,"most unlikely",IF(AD153&lt;5,"very unlikely",IF(AD153&lt;25,"unlikely",IF(AD153&lt;75,"possibly",IF(AD153&lt;95,"likely",IF(AD153&lt;99.5,"very likely","most likely"))))))</f>
        <v>#VALUE!</v>
      </c>
      <c r="AE154" s="410" t="e">
        <f>IF(AE153&lt;0.5,"most unlikely",IF(AE153&lt;5,"very unlikely",IF(AE153&lt;25,"unlikely",IF(AE153&lt;75,"possibly",IF(AE153&lt;95,"likely",IF(AE153&lt;99.5,"very likely","most likely"))))))</f>
        <v>#VALUE!</v>
      </c>
      <c r="AF154" s="410" t="e">
        <f>IF(AF153&lt;0.5,"most unlikely",IF(AF153&lt;5,"very unlikely",IF(AF153&lt;25,"unlikely",IF(AF153&lt;75,"possibly",IF(AF153&lt;95,"likely",IF(AF153&lt;99.5,"very likely","most likely"))))))</f>
        <v>#VALUE!</v>
      </c>
      <c r="AG154" s="410" t="e">
        <f>IF(AG153&lt;0.5,"most unlikely",IF(AG153&lt;5,"very unlikely",IF(AG153&lt;25,"unlikely",IF(AG153&lt;75,"possibly",IF(AG153&lt;95,"likely",IF(AG153&lt;99.5,"very likely","most likely"))))))</f>
        <v>#VALUE!</v>
      </c>
      <c r="AH154" s="32" t="str">
        <f>"  Graph of custom effect vs "&amp;D51</f>
        <v xml:space="preserve">  Graph of custom effect vs X1</v>
      </c>
      <c r="AI154" s="32"/>
      <c r="AJ154" s="32"/>
      <c r="AK154" s="32"/>
      <c r="AL154" s="32"/>
    </row>
    <row r="155" spans="1:38" s="6" customFormat="1" ht="12.95" customHeight="1" x14ac:dyDescent="0.2">
      <c r="A155" s="32"/>
      <c r="B155" s="616"/>
      <c r="C155" s="606"/>
      <c r="D155" s="483"/>
      <c r="E155" s="483"/>
      <c r="F155" s="483"/>
      <c r="G155" s="483"/>
      <c r="H155" s="483"/>
      <c r="I155" s="483"/>
      <c r="J155" s="484"/>
      <c r="K155" s="597"/>
      <c r="L155" s="598" t="s">
        <v>11</v>
      </c>
      <c r="M155" s="668" t="e">
        <f>100-M153-M157</f>
        <v>#VALUE!</v>
      </c>
      <c r="N155" s="668" t="e">
        <f>100-N153-N157</f>
        <v>#VALUE!</v>
      </c>
      <c r="O155" s="668" t="e">
        <f>100-O153-O157</f>
        <v>#VALUE!</v>
      </c>
      <c r="P155" s="668" t="e">
        <f>100-P153-P157</f>
        <v>#VALUE!</v>
      </c>
      <c r="Q155" s="53" t="str">
        <f>"  adjusted for "&amp;E51</f>
        <v xml:space="preserve">  adjusted for X2</v>
      </c>
      <c r="R155" s="32"/>
      <c r="S155" s="616"/>
      <c r="T155" s="606"/>
      <c r="U155" s="483"/>
      <c r="V155" s="483"/>
      <c r="W155" s="483"/>
      <c r="X155" s="483"/>
      <c r="Y155" s="483"/>
      <c r="Z155" s="483"/>
      <c r="AA155" s="484"/>
      <c r="AB155" s="597"/>
      <c r="AC155" s="598" t="s">
        <v>11</v>
      </c>
      <c r="AD155" s="668" t="e">
        <f>100-AD153-AD157</f>
        <v>#VALUE!</v>
      </c>
      <c r="AE155" s="668" t="e">
        <f>100-AE153-AE157</f>
        <v>#VALUE!</v>
      </c>
      <c r="AF155" s="668" t="e">
        <f>100-AF153-AF157</f>
        <v>#VALUE!</v>
      </c>
      <c r="AG155" s="668" t="e">
        <f>100-AG153-AG157</f>
        <v>#VALUE!</v>
      </c>
      <c r="AH155" s="53" t="str">
        <f>"  adjusted for "&amp;E51</f>
        <v xml:space="preserve">  adjusted for X2</v>
      </c>
      <c r="AI155" s="32"/>
      <c r="AJ155" s="32"/>
      <c r="AK155" s="32"/>
      <c r="AL155" s="32"/>
    </row>
    <row r="156" spans="1:38" s="6" customFormat="1" ht="30.95" customHeight="1" x14ac:dyDescent="0.2">
      <c r="A156" s="32"/>
      <c r="B156" s="616"/>
      <c r="C156" s="606"/>
      <c r="D156" s="485"/>
      <c r="E156" s="485"/>
      <c r="F156" s="485"/>
      <c r="G156" s="485"/>
      <c r="H156" s="485"/>
      <c r="I156" s="485"/>
      <c r="J156" s="486"/>
      <c r="K156" s="597"/>
      <c r="L156" s="599"/>
      <c r="M156" s="410" t="e">
        <f>IF(M155&lt;0.5,"most unlikely",IF(M155&lt;5,"very unlikely",IF(M155&lt;25,"unlikely",IF(M155&lt;75,"possibly",IF(M155&lt;95,"likely",IF(M155&lt;99.5,"very likely","most likely"))))))</f>
        <v>#VALUE!</v>
      </c>
      <c r="N156" s="410" t="e">
        <f>IF(N155&lt;0.5,"most unlikely",IF(N155&lt;5,"very unlikely",IF(N155&lt;25,"unlikely",IF(N155&lt;75,"possibly",IF(N155&lt;95,"likely",IF(N155&lt;99.5,"very likely","most likely"))))))</f>
        <v>#VALUE!</v>
      </c>
      <c r="O156" s="410" t="e">
        <f>IF(O155&lt;0.5,"most unlikely",IF(O155&lt;5,"very unlikely",IF(O155&lt;25,"unlikely",IF(O155&lt;75,"possibly",IF(O155&lt;95,"likely",IF(O155&lt;99.5,"very likely","most likely"))))))</f>
        <v>#VALUE!</v>
      </c>
      <c r="P156" s="410" t="e">
        <f>IF(P155&lt;0.5,"most unlikely",IF(P155&lt;5,"very unlikely",IF(P155&lt;25,"unlikely",IF(P155&lt;75,"possibly",IF(P155&lt;95,"likely",IF(P155&lt;99.5,"very likely","most likely"))))))</f>
        <v>#VALUE!</v>
      </c>
      <c r="Q156" s="32"/>
      <c r="R156" s="32"/>
      <c r="S156" s="616"/>
      <c r="T156" s="606"/>
      <c r="U156" s="485"/>
      <c r="V156" s="485"/>
      <c r="W156" s="485"/>
      <c r="X156" s="485"/>
      <c r="Y156" s="485"/>
      <c r="Z156" s="485"/>
      <c r="AA156" s="486"/>
      <c r="AB156" s="597"/>
      <c r="AC156" s="599"/>
      <c r="AD156" s="410" t="e">
        <f>IF(AD155&lt;0.5,"most unlikely",IF(AD155&lt;5,"very unlikely",IF(AD155&lt;25,"unlikely",IF(AD155&lt;75,"possibly",IF(AD155&lt;95,"likely",IF(AD155&lt;99.5,"very likely","most likely"))))))</f>
        <v>#VALUE!</v>
      </c>
      <c r="AE156" s="410" t="e">
        <f>IF(AE155&lt;0.5,"most unlikely",IF(AE155&lt;5,"very unlikely",IF(AE155&lt;25,"unlikely",IF(AE155&lt;75,"possibly",IF(AE155&lt;95,"likely",IF(AE155&lt;99.5,"very likely","most likely"))))))</f>
        <v>#VALUE!</v>
      </c>
      <c r="AF156" s="410" t="e">
        <f>IF(AF155&lt;0.5,"most unlikely",IF(AF155&lt;5,"very unlikely",IF(AF155&lt;25,"unlikely",IF(AF155&lt;75,"possibly",IF(AF155&lt;95,"likely",IF(AF155&lt;99.5,"very likely","most likely"))))))</f>
        <v>#VALUE!</v>
      </c>
      <c r="AG156" s="410" t="e">
        <f>IF(AG155&lt;0.5,"most unlikely",IF(AG155&lt;5,"very unlikely",IF(AG155&lt;25,"unlikely",IF(AG155&lt;75,"possibly",IF(AG155&lt;95,"likely",IF(AG155&lt;99.5,"very likely","most likely"))))))</f>
        <v>#VALUE!</v>
      </c>
      <c r="AH156" s="32"/>
      <c r="AI156" s="32"/>
      <c r="AJ156" s="32"/>
      <c r="AK156" s="32"/>
      <c r="AL156" s="32"/>
    </row>
    <row r="157" spans="1:38" s="6" customFormat="1" ht="12.95" customHeight="1" x14ac:dyDescent="0.2">
      <c r="A157" s="32"/>
      <c r="B157" s="616"/>
      <c r="C157" s="607"/>
      <c r="D157" s="483"/>
      <c r="E157" s="483"/>
      <c r="F157" s="483"/>
      <c r="G157" s="483"/>
      <c r="H157" s="483"/>
      <c r="I157" s="483"/>
      <c r="J157" s="484"/>
      <c r="K157" s="597"/>
      <c r="L157" s="602" t="str">
        <f>"substantially negative (-ive) or "&amp;IF($C$36&lt;0,"harmful","beneficial")</f>
        <v>substantially negative (-ive) or beneficial</v>
      </c>
      <c r="M157" s="668" t="e">
        <f>IF(ISERROR(TDIST((M152-M147)/M139,M146,1)),TDIST((M147-M152)/M139,M146,1),1-TDIST((M152-M147)/M139,M146,1))*100</f>
        <v>#VALUE!</v>
      </c>
      <c r="N157" s="668" t="e">
        <f>IF(ISERROR(TDIST((N152-N147)/N139,N146,1)),TDIST((N147-N152)/N139,N146,1),1-TDIST((N152-N147)/N139,N146,1))*100</f>
        <v>#VALUE!</v>
      </c>
      <c r="O157" s="668" t="e">
        <f>IF(ISERROR(TDIST((O152-O147)/O139,O146,1)),TDIST((O147-O152)/O139,O146,1),1-TDIST((O152-O147)/O139,O146,1))*100</f>
        <v>#VALUE!</v>
      </c>
      <c r="P157" s="668" t="e">
        <f>IF(ISERROR(TDIST((P152-P147)/P139,P146,1)),TDIST((P147-P152)/P139,P146,1),1-TDIST((P152-P147)/P139,P146,1))*100</f>
        <v>#VALUE!</v>
      </c>
      <c r="Q157" s="32"/>
      <c r="R157" s="32"/>
      <c r="S157" s="616"/>
      <c r="T157" s="607"/>
      <c r="U157" s="483"/>
      <c r="V157" s="483"/>
      <c r="W157" s="483"/>
      <c r="X157" s="483"/>
      <c r="Y157" s="483"/>
      <c r="Z157" s="483"/>
      <c r="AA157" s="484"/>
      <c r="AB157" s="597"/>
      <c r="AC157" s="602" t="str">
        <f>"substantially negative (-ive) or "&amp;IF($C$37&lt;0,"harmful","beneficial")</f>
        <v>substantially negative (-ive) or beneficial</v>
      </c>
      <c r="AD157" s="668" t="e">
        <f>IF(ISERROR(TDIST((100*LN(1+AD152/100)-AD$137)/AD$139,AD146,1)),TDIST((AD$137-100*LN(1+AD152/100))/AD$139,AD146,1),1-TDIST((100*LN(1+AD152/100)-AD$137)/AD$139,AD146,1))*100</f>
        <v>#VALUE!</v>
      </c>
      <c r="AE157" s="668" t="e">
        <f>IF(ISERROR(TDIST((100*LN(1+AE152/100)-AE$137)/AE$139,AE146,1)),TDIST((AE$137-100*LN(1+AE152/100))/AE$139,AE146,1),1-TDIST((100*LN(1+AE152/100)-AE$137)/AE$139,AE146,1))*100</f>
        <v>#VALUE!</v>
      </c>
      <c r="AF157" s="668" t="e">
        <f>IF(ISERROR(TDIST((100*LN(1+AF152/100)-AF$137)/AF$139,AF146,1)),TDIST((AF$137-100*LN(1+AF152/100))/AF$139,AF146,1),1-TDIST((100*LN(1+AF152/100)-AF$137)/AF$139,AF146,1))*100</f>
        <v>#VALUE!</v>
      </c>
      <c r="AG157" s="668" t="e">
        <f>IF(ISERROR(TDIST((100*LN(1+AG152/100)-AG$137)/AG$139,AG146,1)),TDIST((AG$137-100*LN(1+AG152/100))/AG$139,AG146,1),1-TDIST((100*LN(1+AG152/100)-AG$137)/AG$139,AG146,1))*100</f>
        <v>#VALUE!</v>
      </c>
      <c r="AH157" s="32"/>
      <c r="AI157" s="32"/>
      <c r="AJ157" s="32"/>
      <c r="AK157" s="32"/>
      <c r="AL157" s="32"/>
    </row>
    <row r="158" spans="1:38" ht="30.95" customHeight="1" x14ac:dyDescent="0.2">
      <c r="A158" s="32"/>
      <c r="B158" s="616"/>
      <c r="C158" s="608"/>
      <c r="D158" s="485"/>
      <c r="E158" s="485"/>
      <c r="F158" s="485"/>
      <c r="G158" s="485"/>
      <c r="H158" s="485"/>
      <c r="I158" s="485"/>
      <c r="J158" s="486"/>
      <c r="K158" s="597"/>
      <c r="L158" s="603"/>
      <c r="M158" s="410" t="e">
        <f>IF(M157&lt;0.5,"most unlikely",IF(M157&lt;5,"very unlikely",IF(M157&lt;25,"unlikely",IF(M157&lt;75,"possibly",IF(M157&lt;95,"likely",IF(M157&lt;99.5,"very likely","most likely"))))))</f>
        <v>#VALUE!</v>
      </c>
      <c r="N158" s="410" t="e">
        <f>IF(N157&lt;0.5,"most unlikely",IF(N157&lt;5,"very unlikely",IF(N157&lt;25,"unlikely",IF(N157&lt;75,"possibly",IF(N157&lt;95,"likely",IF(N157&lt;99.5,"very likely","most likely"))))))</f>
        <v>#VALUE!</v>
      </c>
      <c r="O158" s="410" t="e">
        <f>IF(O157&lt;0.5,"most unlikely",IF(O157&lt;5,"very unlikely",IF(O157&lt;25,"unlikely",IF(O157&lt;75,"possibly",IF(O157&lt;95,"likely",IF(O157&lt;99.5,"very likely","most likely"))))))</f>
        <v>#VALUE!</v>
      </c>
      <c r="P158" s="410" t="e">
        <f>IF(P157&lt;0.5,"most unlikely",IF(P157&lt;5,"very unlikely",IF(P157&lt;25,"unlikely",IF(P157&lt;75,"possibly",IF(P157&lt;95,"likely",IF(P157&lt;99.5,"very likely","most likely"))))))</f>
        <v>#VALUE!</v>
      </c>
      <c r="Q158" s="19"/>
      <c r="R158" s="19"/>
      <c r="S158" s="616"/>
      <c r="T158" s="608"/>
      <c r="U158" s="485"/>
      <c r="V158" s="485"/>
      <c r="W158" s="485"/>
      <c r="X158" s="485"/>
      <c r="Y158" s="485"/>
      <c r="Z158" s="485"/>
      <c r="AA158" s="486"/>
      <c r="AB158" s="597"/>
      <c r="AC158" s="603"/>
      <c r="AD158" s="410" t="e">
        <f>IF(AD157&lt;0.5,"most unlikely",IF(AD157&lt;5,"very unlikely",IF(AD157&lt;25,"unlikely",IF(AD157&lt;75,"possibly",IF(AD157&lt;95,"likely",IF(AD157&lt;99.5,"very likely","most likely"))))))</f>
        <v>#VALUE!</v>
      </c>
      <c r="AE158" s="410" t="e">
        <f>IF(AE157&lt;0.5,"most unlikely",IF(AE157&lt;5,"very unlikely",IF(AE157&lt;25,"unlikely",IF(AE157&lt;75,"possibly",IF(AE157&lt;95,"likely",IF(AE157&lt;99.5,"very likely","most likely"))))))</f>
        <v>#VALUE!</v>
      </c>
      <c r="AF158" s="410" t="e">
        <f>IF(AF157&lt;0.5,"most unlikely",IF(AF157&lt;5,"very unlikely",IF(AF157&lt;25,"unlikely",IF(AF157&lt;75,"possibly",IF(AF157&lt;95,"likely",IF(AF157&lt;99.5,"very likely","most likely"))))))</f>
        <v>#VALUE!</v>
      </c>
      <c r="AG158" s="410" t="e">
        <f>IF(AG157&lt;0.5,"most unlikely",IF(AG157&lt;5,"very unlikely",IF(AG157&lt;25,"unlikely",IF(AG157&lt;75,"possibly",IF(AG157&lt;95,"likely",IF(AG157&lt;99.5,"very likely","most likely"))))))</f>
        <v>#VALUE!</v>
      </c>
      <c r="AH158" s="19"/>
      <c r="AI158" s="19"/>
      <c r="AJ158" s="19"/>
      <c r="AK158" s="19"/>
      <c r="AL158" s="19"/>
    </row>
    <row r="159" spans="1:38" ht="35.1" customHeight="1" x14ac:dyDescent="0.2">
      <c r="A159" s="19"/>
      <c r="B159" s="594"/>
      <c r="C159" s="595"/>
      <c r="D159" s="487"/>
      <c r="E159" s="487"/>
      <c r="F159" s="487"/>
      <c r="G159" s="487"/>
      <c r="H159" s="487"/>
      <c r="I159" s="487"/>
      <c r="J159" s="488"/>
      <c r="K159" s="580" t="str">
        <f>"Non-clinical  decision, based on threshold chances of "&amp;$F$44&amp;"% for substantial magnitudes"</f>
        <v>Non-clinical  decision, based on threshold chances of 50% for substantial magnitudes</v>
      </c>
      <c r="L159" s="581"/>
      <c r="M159" s="403" t="e">
        <f>IF(MIN(M153,M157)&gt;$F$44,"unclear; get more data",IF(M153&gt;25,M154&amp;" +ive",IF(M157&gt;25,M158&amp;" –ive",M156&amp;" trivial")))</f>
        <v>#VALUE!</v>
      </c>
      <c r="N159" s="403" t="e">
        <f t="shared" ref="N159:P159" si="139">IF(MIN(N153,N157)&gt;$F$44,"unclear; get more data",IF(N153&gt;25,N154&amp;" +ive",IF(N157&gt;25,N158&amp;" –ive",N156&amp;" trivial")))</f>
        <v>#VALUE!</v>
      </c>
      <c r="O159" s="403" t="e">
        <f t="shared" si="139"/>
        <v>#VALUE!</v>
      </c>
      <c r="P159" s="403" t="e">
        <f t="shared" si="139"/>
        <v>#VALUE!</v>
      </c>
      <c r="Q159" s="19"/>
      <c r="R159" s="19"/>
      <c r="S159" s="594"/>
      <c r="T159" s="595"/>
      <c r="U159" s="487"/>
      <c r="V159" s="487"/>
      <c r="W159" s="487"/>
      <c r="X159" s="487"/>
      <c r="Y159" s="487"/>
      <c r="Z159" s="487"/>
      <c r="AA159" s="488"/>
      <c r="AB159" s="580" t="str">
        <f>"Non-clinical  decision, based on threshold chances of "&amp;$F$44&amp;"% for substantial magnitudes"</f>
        <v>Non-clinical  decision, based on threshold chances of 50% for substantial magnitudes</v>
      </c>
      <c r="AC159" s="581"/>
      <c r="AD159" s="403" t="e">
        <f>IF(MIN(AD153,AD157)&gt;$F$44,"unclear; get more data",IF(AD153&gt;25,AD154&amp;" +ive",IF(AD157&gt;25,AD158&amp;" –ive",AD156&amp;" trivial")))</f>
        <v>#VALUE!</v>
      </c>
      <c r="AE159" s="403" t="e">
        <f t="shared" ref="AE159" si="140">IF(MIN(AE153,AE157)&gt;$F$44,"unclear; get more data",IF(AE153&gt;25,AE154&amp;" +ive",IF(AE157&gt;25,AE158&amp;" –ive",AE156&amp;" trivial")))</f>
        <v>#VALUE!</v>
      </c>
      <c r="AF159" s="403" t="e">
        <f t="shared" ref="AF159" si="141">IF(MIN(AF153,AF157)&gt;$F$44,"unclear; get more data",IF(AF153&gt;25,AF154&amp;" +ive",IF(AF157&gt;25,AF158&amp;" –ive",AF156&amp;" trivial")))</f>
        <v>#VALUE!</v>
      </c>
      <c r="AG159" s="403" t="e">
        <f t="shared" ref="AG159" si="142">IF(MIN(AG153,AG157)&gt;$F$44,"unclear; get more data",IF(AG153&gt;25,AG154&amp;" +ive",IF(AG157&gt;25,AG158&amp;" –ive",AG156&amp;" trivial")))</f>
        <v>#VALUE!</v>
      </c>
      <c r="AH159" s="19"/>
      <c r="AI159" s="19"/>
      <c r="AJ159" s="19"/>
      <c r="AK159" s="19"/>
      <c r="AL159" s="19"/>
    </row>
    <row r="160" spans="1:38" ht="35.1" customHeight="1" x14ac:dyDescent="0.2">
      <c r="A160" s="19"/>
      <c r="B160" s="594"/>
      <c r="C160" s="595"/>
      <c r="D160" s="489"/>
      <c r="E160" s="489"/>
      <c r="F160" s="489"/>
      <c r="G160" s="489"/>
      <c r="H160" s="489"/>
      <c r="I160" s="489"/>
      <c r="J160" s="490"/>
      <c r="K160" s="580" t="str">
        <f>"Clinical decision, based on threshold chances of harm and benefit of "&amp;$F$45&amp;"% and "&amp;$F$46&amp;"%"</f>
        <v>Clinical decision, based on threshold chances of harm and benefit of 5% and 250%</v>
      </c>
      <c r="L160" s="581"/>
      <c r="M160" s="403" t="e">
        <f>IF($C$36&gt;0,IF(M157&gt;$F$46,IF(M153&lt;$F$45,M158&amp;" beneficial","unclear; get more data"),IF(M153&gt;25,M154&amp;" harmful",M156&amp;" trivial")),IF(M153&gt;$F$46,IF(M157&lt;$F$45,M154&amp;" beneficial","unclear; get more data"),IF(M157&gt;25,M158&amp;" harmful",M156&amp;" trivial")))</f>
        <v>#VALUE!</v>
      </c>
      <c r="N160" s="403" t="e">
        <f>IF($C$36&gt;0,IF(N157&gt;$F$46,IF(N153&lt;$F$45,N158&amp;" beneficial","unclear; get more data"),IF(N153&gt;25,N154&amp;" harmful",N156&amp;" trivial")),IF(N153&gt;$F$46,IF(N157&lt;$F$45,N154&amp;" beneficial","unclear; get more data"),IF(N157&gt;25,N158&amp;" harmful",N156&amp;" trivial")))</f>
        <v>#VALUE!</v>
      </c>
      <c r="O160" s="403" t="e">
        <f>IF($C$36&gt;0,IF(O157&gt;$F$46,IF(O153&lt;$F$45,O158&amp;" beneficial","unclear; get more data"),IF(O153&gt;25,O154&amp;" harmful",O156&amp;" trivial")),IF(O153&gt;$F$46,IF(O157&lt;$F$45,O154&amp;" beneficial","unclear; get more data"),IF(O157&gt;25,O158&amp;" harmful",O156&amp;" trivial")))</f>
        <v>#VALUE!</v>
      </c>
      <c r="P160" s="403" t="e">
        <f>IF($C$36&gt;0,IF(P157&gt;$F$46,IF(P153&lt;$F$45,P158&amp;" beneficial","unclear; get more data"),IF(P153&gt;25,P154&amp;" harmful",P156&amp;" trivial")),IF(P153&gt;$F$46,IF(P157&lt;$F$45,P154&amp;" beneficial","unclear; get more data"),IF(P157&gt;25,P158&amp;" harmful",P156&amp;" trivial")))</f>
        <v>#VALUE!</v>
      </c>
      <c r="Q160" s="19"/>
      <c r="R160" s="19"/>
      <c r="S160" s="594"/>
      <c r="T160" s="595"/>
      <c r="U160" s="489"/>
      <c r="V160" s="489"/>
      <c r="W160" s="489"/>
      <c r="X160" s="489"/>
      <c r="Y160" s="489"/>
      <c r="Z160" s="489"/>
      <c r="AA160" s="490"/>
      <c r="AB160" s="580" t="str">
        <f>"Clinical decision, based on threshold chances of harm and benefit of "&amp;$F$45&amp;"% and "&amp;$F$46&amp;"%"</f>
        <v>Clinical decision, based on threshold chances of harm and benefit of 5% and 250%</v>
      </c>
      <c r="AC160" s="581"/>
      <c r="AD160" s="403" t="e">
        <f>IF($C$37&gt;0,IF(AD157&gt;$F$46,IF(AD153&lt;$F$45,AD158&amp;" beneficial","unclear; get more data"),IF(AD153&gt;25,AD154&amp;" harmful",AD156&amp;" trivial")),IF(AD153&gt;$F$46,IF(AD157&lt;$F$45,AD154&amp;" beneficial","unclear; get more data"),IF(AD157&gt;25,AD158&amp;" harmful",AD156&amp;" trivial")))</f>
        <v>#VALUE!</v>
      </c>
      <c r="AE160" s="403" t="e">
        <f>IF($C$37&gt;0,IF(AE157&gt;$F$46,IF(AE153&lt;$F$45,AE158&amp;" beneficial","unclear; get more data"),IF(AE153&gt;25,AE154&amp;" harmful",AE156&amp;" trivial")),IF(AE153&gt;$F$46,IF(AE157&lt;$F$45,AE154&amp;" beneficial","unclear; get more data"),IF(AE157&gt;25,AE158&amp;" harmful",AE156&amp;" trivial")))</f>
        <v>#VALUE!</v>
      </c>
      <c r="AF160" s="403" t="e">
        <f>IF($C$37&gt;0,IF(AF157&gt;$F$46,IF(AF153&lt;$F$45,AF158&amp;" beneficial","unclear; get more data"),IF(AF153&gt;25,AF154&amp;" harmful",AF156&amp;" trivial")),IF(AF153&gt;$F$46,IF(AF157&lt;$F$45,AF154&amp;" beneficial","unclear; get more data"),IF(AF157&gt;25,AF158&amp;" harmful",AF156&amp;" trivial")))</f>
        <v>#VALUE!</v>
      </c>
      <c r="AG160" s="403" t="e">
        <f>IF($C$37&gt;0,IF(AG157&gt;$F$46,IF(AG153&lt;$F$45,AG158&amp;" beneficial","unclear; get more data"),IF(AG153&gt;25,AG154&amp;" harmful",AG156&amp;" trivial")),IF(AG153&gt;$F$46,IF(AG157&lt;$F$45,AG154&amp;" beneficial","unclear; get more data"),IF(AG157&gt;25,AG158&amp;" harmful",AG156&amp;" trivial")))</f>
        <v>#VALUE!</v>
      </c>
      <c r="AH160" s="19"/>
      <c r="AI160" s="19"/>
      <c r="AJ160" s="19"/>
      <c r="AK160" s="19"/>
      <c r="AL160" s="19"/>
    </row>
    <row r="161" spans="1:38" ht="12.95" customHeight="1" x14ac:dyDescent="0.2">
      <c r="A161" s="19"/>
      <c r="B161" s="594"/>
      <c r="C161" s="595"/>
      <c r="D161" s="491"/>
      <c r="E161" s="491"/>
      <c r="F161" s="491"/>
      <c r="G161" s="491"/>
      <c r="H161" s="491"/>
      <c r="I161" s="491"/>
      <c r="J161" s="492"/>
      <c r="K161" s="580" t="s">
        <v>82</v>
      </c>
      <c r="L161" s="581"/>
      <c r="M161" s="411" t="e">
        <f>IF($C$36&gt;0,M157/(100-M157)/(M153/(100-M153)),M153/(100-M153)/(M157/(100-M157)))</f>
        <v>#VALUE!</v>
      </c>
      <c r="N161" s="411" t="e">
        <f>IF($C$36&gt;0,N157/(100-N157)/(N153/(100-N153)),N153/(100-N153)/(N157/(100-N157)))</f>
        <v>#VALUE!</v>
      </c>
      <c r="O161" s="411" t="e">
        <f>IF($C$36&gt;0,O157/(100-O157)/(O153/(100-O153)),O153/(100-O153)/(O157/(100-O157)))</f>
        <v>#VALUE!</v>
      </c>
      <c r="P161" s="411" t="e">
        <f>IF($C$36&gt;0,P157/(100-P157)/(P153/(100-P153)),P153/(100-P153)/(P157/(100-P157)))</f>
        <v>#VALUE!</v>
      </c>
      <c r="Q161" s="19"/>
      <c r="R161" s="19"/>
      <c r="S161" s="594"/>
      <c r="T161" s="595"/>
      <c r="U161" s="491"/>
      <c r="V161" s="491"/>
      <c r="W161" s="491"/>
      <c r="X161" s="491"/>
      <c r="Y161" s="491"/>
      <c r="Z161" s="491"/>
      <c r="AA161" s="492"/>
      <c r="AB161" s="580" t="s">
        <v>82</v>
      </c>
      <c r="AC161" s="581"/>
      <c r="AD161" s="411" t="e">
        <f>IF($C$37&gt;0,AD157/(100-AD157)/(AD153/(100-AD153)),AD153/(100-AD153)/(AD157/(100-AD157)))</f>
        <v>#VALUE!</v>
      </c>
      <c r="AE161" s="411" t="e">
        <f>IF($C$37&gt;0,AE157/(100-AE157)/(AE153/(100-AE153)),AE153/(100-AE153)/(AE157/(100-AE157)))</f>
        <v>#VALUE!</v>
      </c>
      <c r="AF161" s="411" t="e">
        <f>IF($C$37&gt;0,AF157/(100-AF157)/(AF153/(100-AF153)),AF153/(100-AF153)/(AF157/(100-AF157)))</f>
        <v>#VALUE!</v>
      </c>
      <c r="AG161" s="411" t="e">
        <f>IF($C$37&gt;0,AG157/(100-AG157)/(AG153/(100-AG153)),AG153/(100-AG153)/(AG157/(100-AG157)))</f>
        <v>#VALUE!</v>
      </c>
      <c r="AH161" s="19"/>
      <c r="AI161" s="19"/>
      <c r="AJ161" s="19"/>
      <c r="AK161" s="19"/>
      <c r="AL161" s="19"/>
    </row>
    <row r="162" spans="1:38" ht="35.1" customHeight="1" x14ac:dyDescent="0.2">
      <c r="A162" s="19"/>
      <c r="B162" s="594"/>
      <c r="C162" s="595"/>
      <c r="D162" s="489"/>
      <c r="E162" s="489"/>
      <c r="F162" s="489"/>
      <c r="G162" s="489"/>
      <c r="H162" s="489"/>
      <c r="I162" s="489"/>
      <c r="J162" s="490"/>
      <c r="K162" s="580" t="str">
        <f>"Clinical decision as above, but declaring beneficial when odds ratio of benefit/harm is &gt;"&amp;$F$47</f>
        <v>Clinical decision as above, but declaring beneficial when odds ratio of benefit/harm is &gt;-32</v>
      </c>
      <c r="L162" s="581"/>
      <c r="M162" s="403" t="e">
        <f>IF(M161&gt;$F$47,IF($C$36&gt;0,M158,M154)&amp;" beneficial",IF($C$36&gt;0,IF(M157&gt;$F$46,IF(M153&lt;$F$45,M158&amp;" beneficial","unclear; get more data"),IF(M153&gt;25,M154&amp;" harmful",M156&amp;" trivial")),IF(M153&gt;$F$46,IF(M157&lt;$F$45,M154&amp;" beneficial","unclear; get more data"),IF(M157&gt;25,M158&amp;" harmful",M156&amp;" trivial"))))</f>
        <v>#VALUE!</v>
      </c>
      <c r="N162" s="403" t="e">
        <f>IF(N161&gt;$F$47,IF($C$36&gt;0,N158,N154)&amp;" beneficial",IF($C$36&gt;0,IF(N157&gt;$F$46,IF(N153&lt;$F$45,N158&amp;" beneficial","unclear; get more data"),IF(N153&gt;25,N154&amp;" harmful",N156&amp;" trivial")),IF(N153&gt;$F$46,IF(N157&lt;$F$45,N154&amp;" beneficial","unclear; get more data"),IF(N157&gt;25,N158&amp;" harmful",N156&amp;" trivial"))))</f>
        <v>#VALUE!</v>
      </c>
      <c r="O162" s="403" t="e">
        <f>IF(O161&gt;$F$47,IF($C$36&gt;0,O158,O154)&amp;" beneficial",IF($C$36&gt;0,IF(O157&gt;$F$46,IF(O153&lt;$F$45,O158&amp;" beneficial","unclear; get more data"),IF(O153&gt;25,O154&amp;" harmful",O156&amp;" trivial")),IF(O153&gt;$F$46,IF(O157&lt;$F$45,O154&amp;" beneficial","unclear; get more data"),IF(O157&gt;25,O158&amp;" harmful",O156&amp;" trivial"))))</f>
        <v>#VALUE!</v>
      </c>
      <c r="P162" s="403" t="e">
        <f>IF(P161&gt;$F$47,IF($C$36&gt;0,P158,P154)&amp;" beneficial",IF($C$36&gt;0,IF(P157&gt;$F$46,IF(P153&lt;$F$45,P158&amp;" beneficial","unclear; get more data"),IF(P153&gt;25,P154&amp;" harmful",P156&amp;" trivial")),IF(P153&gt;$F$46,IF(P157&lt;$F$45,P154&amp;" beneficial","unclear; get more data"),IF(P157&gt;25,P158&amp;" harmful",P156&amp;" trivial"))))</f>
        <v>#VALUE!</v>
      </c>
      <c r="Q162" s="19"/>
      <c r="R162" s="19"/>
      <c r="S162" s="594"/>
      <c r="T162" s="595"/>
      <c r="U162" s="489"/>
      <c r="V162" s="489"/>
      <c r="W162" s="489"/>
      <c r="X162" s="489"/>
      <c r="Y162" s="489"/>
      <c r="Z162" s="489"/>
      <c r="AA162" s="490"/>
      <c r="AB162" s="580" t="str">
        <f>"Clinical decision as above, but declaring beneficial when odds ratio of benefit/harm is &gt;"&amp;$F$47</f>
        <v>Clinical decision as above, but declaring beneficial when odds ratio of benefit/harm is &gt;-32</v>
      </c>
      <c r="AC162" s="581"/>
      <c r="AD162" s="403" t="e">
        <f>IF(AD161&gt;$F$47,IF($C$37&gt;0,AD158,AD154)&amp;" beneficial",IF($C$37&gt;0,IF(AD157&gt;$F$46,IF(AD153&lt;$F$45,AD158&amp;" beneficial","unclear; get more data"),IF(AD153&gt;25,AD154&amp;" harmful",AD156&amp;" trivial")),IF(AD153&gt;$F$46,IF(AD157&lt;$F$45,AD154&amp;" beneficial","unclear; get more data"),IF(AD157&gt;25,AD158&amp;" harmful",AD156&amp;" trivial"))))</f>
        <v>#VALUE!</v>
      </c>
      <c r="AE162" s="403" t="e">
        <f>IF(AE161&gt;$F$47,IF($C$37&gt;0,AE158,AE154)&amp;" beneficial",IF($C$37&gt;0,IF(AE157&gt;$F$46,IF(AE153&lt;$F$45,AE158&amp;" beneficial","unclear; get more data"),IF(AE153&gt;25,AE154&amp;" harmful",AE156&amp;" trivial")),IF(AE153&gt;$F$46,IF(AE157&lt;$F$45,AE154&amp;" beneficial","unclear; get more data"),IF(AE157&gt;25,AE158&amp;" harmful",AE156&amp;" trivial"))))</f>
        <v>#VALUE!</v>
      </c>
      <c r="AF162" s="403" t="e">
        <f>IF(AF161&gt;$F$47,IF($C$37&gt;0,AF158,AF154)&amp;" beneficial",IF($C$37&gt;0,IF(AF157&gt;$F$46,IF(AF153&lt;$F$45,AF158&amp;" beneficial","unclear; get more data"),IF(AF153&gt;25,AF154&amp;" harmful",AF156&amp;" trivial")),IF(AF153&gt;$F$46,IF(AF157&lt;$F$45,AF154&amp;" beneficial","unclear; get more data"),IF(AF157&gt;25,AF158&amp;" harmful",AF156&amp;" trivial"))))</f>
        <v>#VALUE!</v>
      </c>
      <c r="AG162" s="403" t="e">
        <f>IF(AG161&gt;$F$47,IF($C$37&gt;0,AG158,AG154)&amp;" beneficial",IF($C$37&gt;0,IF(AG157&gt;$F$46,IF(AG153&lt;$F$45,AG158&amp;" beneficial","unclear; get more data"),IF(AG153&gt;25,AG154&amp;" harmful",AG156&amp;" trivial")),IF(AG153&gt;$F$46,IF(AG157&lt;$F$45,AG154&amp;" beneficial","unclear; get more data"),IF(AG157&gt;25,AG158&amp;" harmful",AG156&amp;" trivial"))))</f>
        <v>#VALUE!</v>
      </c>
      <c r="AH162" s="19"/>
      <c r="AI162" s="19"/>
      <c r="AJ162" s="19"/>
      <c r="AK162" s="19"/>
      <c r="AL162" s="19"/>
    </row>
    <row r="163" spans="1:38" x14ac:dyDescent="0.2">
      <c r="A163" s="19"/>
      <c r="B163" s="493"/>
      <c r="C163" s="494"/>
      <c r="D163" s="494"/>
      <c r="E163" s="494"/>
      <c r="F163" s="494"/>
      <c r="G163" s="494"/>
      <c r="H163" s="494"/>
      <c r="I163" s="494"/>
      <c r="J163" s="495"/>
      <c r="K163" s="412"/>
      <c r="L163" s="413"/>
      <c r="M163" s="413"/>
      <c r="N163" s="413"/>
      <c r="O163" s="413"/>
      <c r="P163" s="414"/>
      <c r="Q163" s="19"/>
      <c r="R163" s="19"/>
      <c r="S163" s="493"/>
      <c r="T163" s="494"/>
      <c r="U163" s="494"/>
      <c r="V163" s="494"/>
      <c r="W163" s="494"/>
      <c r="X163" s="494"/>
      <c r="Y163" s="494"/>
      <c r="Z163" s="494"/>
      <c r="AA163" s="495"/>
      <c r="AB163" s="419"/>
      <c r="AC163" s="201"/>
      <c r="AD163" s="201"/>
      <c r="AE163" s="201"/>
      <c r="AF163" s="420"/>
      <c r="AG163" s="420"/>
      <c r="AH163" s="19"/>
      <c r="AI163" s="19"/>
      <c r="AJ163" s="19"/>
      <c r="AK163" s="19"/>
      <c r="AL163" s="19"/>
    </row>
    <row r="164" spans="1:38" ht="12.95" customHeight="1" x14ac:dyDescent="0.2">
      <c r="A164" s="19"/>
      <c r="B164" s="592" t="s">
        <v>232</v>
      </c>
      <c r="C164" s="593"/>
      <c r="D164" s="496">
        <f>IF(ISERROR(SQRT(D106^2-D73^2)),-SQRT(D73^2-D106^2),SQRT(D106^2-D73^2))</f>
        <v>-1.229548483665531</v>
      </c>
      <c r="E164" s="496">
        <f>IF(ISERROR(SQRT(E106^2-E73^2)),-SQRT(E73^2-E106^2),SQRT(E106^2-E73^2))</f>
        <v>-2.2621135901489824</v>
      </c>
      <c r="F164" s="468"/>
      <c r="G164" s="468"/>
      <c r="H164" s="468"/>
      <c r="I164" s="468"/>
      <c r="J164" s="469"/>
      <c r="K164" s="438"/>
      <c r="L164" s="439" t="s">
        <v>221</v>
      </c>
      <c r="M164" s="415">
        <f>IF(ISERROR(SQRT(M106^2-M73^2)),-SQRT(M73^2-M106^2),SQRT(M106^2-M73^2))</f>
        <v>6.5513357416636833</v>
      </c>
      <c r="N164" s="415">
        <f>IF(ISERROR(SQRT(N106^2-N73^2)),-SQRT(N73^2-N106^2),SQRT(N106^2-N73^2))</f>
        <v>6.5513357416636833</v>
      </c>
      <c r="O164" s="415">
        <f>IF(ISERROR(SQRT(O106^2-O73^2)),-SQRT(O73^2-O106^2),SQRT(O106^2-O73^2))</f>
        <v>5.4764819954346295</v>
      </c>
      <c r="P164" s="415">
        <f>IF(ISERROR(SQRT(P106^2-P73^2)),-SQRT(P73^2-P106^2),SQRT(P106^2-P73^2))</f>
        <v>5.4764819954346295</v>
      </c>
      <c r="Q164" s="19"/>
      <c r="R164" s="19"/>
      <c r="S164" s="592" t="s">
        <v>233</v>
      </c>
      <c r="T164" s="593"/>
      <c r="U164" s="496" t="str">
        <f>IF(U118=D118,"",100*EXP(IF(ISERROR(SQRT(U106^2-U73^2)),-SQRT(U73^2-U106^2),SQRT(U106^2-U73^2))/100)-100)</f>
        <v/>
      </c>
      <c r="V164" s="496">
        <f>100*EXP(IF(ISERROR(SQRT(V106^2-V73^2)),-SQRT(V73^2-V106^2),SQRT(V106^2-V73^2))/100)-100</f>
        <v>-0.54294888697006627</v>
      </c>
      <c r="W164" s="468"/>
      <c r="X164" s="468"/>
      <c r="Y164" s="468"/>
      <c r="Z164" s="468"/>
      <c r="AA164" s="469"/>
      <c r="AB164" s="438"/>
      <c r="AC164" s="439" t="s">
        <v>220</v>
      </c>
      <c r="AD164" s="421">
        <f t="shared" ref="AD164:AG166" si="143">100*EXP(AD279/100)-100</f>
        <v>1.5694181542228307</v>
      </c>
      <c r="AE164" s="422">
        <f t="shared" si="143"/>
        <v>1.5694181542228307</v>
      </c>
      <c r="AF164" s="422">
        <f t="shared" si="143"/>
        <v>1.3112956069922177</v>
      </c>
      <c r="AG164" s="422">
        <f t="shared" si="143"/>
        <v>1.3112956069922177</v>
      </c>
      <c r="AH164" s="19"/>
      <c r="AI164" s="19"/>
      <c r="AJ164" s="19"/>
      <c r="AK164" s="19"/>
      <c r="AL164" s="19"/>
    </row>
    <row r="165" spans="1:38" ht="12.95" customHeight="1" x14ac:dyDescent="0.2">
      <c r="A165" s="19"/>
      <c r="B165" s="609"/>
      <c r="C165" s="497"/>
      <c r="D165" s="498"/>
      <c r="E165" s="498"/>
      <c r="F165" s="498"/>
      <c r="G165" s="498"/>
      <c r="H165" s="498"/>
      <c r="I165" s="498"/>
      <c r="J165" s="499"/>
      <c r="K165" s="571" t="s">
        <v>242</v>
      </c>
      <c r="L165" s="178" t="s">
        <v>8</v>
      </c>
      <c r="M165" s="416">
        <f>IF(ISERROR(SQRT(M106^2-M73^2+NORMINV(0.5-M145/200,0,1)*SQRT(2*M73^4/M75+2*M106^4/M108))),-SQRT(-(M106^2-M73^2+NORMINV(0.5-M145/200,0,1)*SQRT(2*M73^4/M75+2*M106^4/M108))),SQRT(M106^2-M73^2+NORMINV(0.5-M145/200,0,1)*SQRT(2*M73^4/M75+2*M106^4/M108)))</f>
        <v>6.5513357416636833</v>
      </c>
      <c r="N165" s="416">
        <f>IF(ISERROR(SQRT(N106^2-N73^2+NORMINV(0.5-N145/200,0,1)*SQRT(2*N73^4/N75+2*N106^4/N108))),-SQRT(-(N106^2-N73^2+NORMINV(0.5-N145/200,0,1)*SQRT(2*N73^4/N75+2*N106^4/N108))),SQRT(N106^2-N73^2+NORMINV(0.5-N145/200,0,1)*SQRT(2*N73^4/N75+2*N106^4/N108)))</f>
        <v>6.5513357416636833</v>
      </c>
      <c r="O165" s="416">
        <f>IF(ISERROR(SQRT(O106^2-O73^2+NORMINV(0.5-O145/200,0,1)*SQRT(2*O73^4/O75+2*O106^4/O108))),-SQRT(-(O106^2-O73^2+NORMINV(0.5-O145/200,0,1)*SQRT(2*O73^4/O75+2*O106^4/O108))),SQRT(O106^2-O73^2+NORMINV(0.5-O145/200,0,1)*SQRT(2*O73^4/O75+2*O106^4/O108)))</f>
        <v>5.4764819954346295</v>
      </c>
      <c r="P165" s="416">
        <f>IF(ISERROR(SQRT(P106^2-P73^2+NORMINV(0.5-P145/200,0,1)*SQRT(2*P73^4/P75+2*P106^4/P108))),-SQRT(-(P106^2-P73^2+NORMINV(0.5-P145/200,0,1)*SQRT(2*P73^4/P75+2*P106^4/P108))),SQRT(P106^2-P73^2+NORMINV(0.5-P145/200,0,1)*SQRT(2*P73^4/P75+2*P106^4/P108)))</f>
        <v>5.4764819954346295</v>
      </c>
      <c r="Q165" s="32" t="str">
        <f>"  Graph of custom effect vs "&amp;E51</f>
        <v xml:space="preserve">  Graph of custom effect vs X2</v>
      </c>
      <c r="R165" s="19"/>
      <c r="S165" s="609"/>
      <c r="T165" s="497"/>
      <c r="U165" s="497"/>
      <c r="V165" s="498"/>
      <c r="W165" s="498"/>
      <c r="X165" s="498"/>
      <c r="Y165" s="498"/>
      <c r="Z165" s="498"/>
      <c r="AA165" s="499"/>
      <c r="AB165" s="597" t="s">
        <v>242</v>
      </c>
      <c r="AC165" s="178" t="s">
        <v>8</v>
      </c>
      <c r="AD165" s="416">
        <f t="shared" si="143"/>
        <v>1.5694181542228307</v>
      </c>
      <c r="AE165" s="423">
        <f t="shared" si="143"/>
        <v>1.5694181542228307</v>
      </c>
      <c r="AF165" s="423">
        <f t="shared" si="143"/>
        <v>1.3112956069922177</v>
      </c>
      <c r="AG165" s="423">
        <f t="shared" si="143"/>
        <v>1.3112956069922177</v>
      </c>
      <c r="AH165" s="32" t="str">
        <f>"  Graph of custom effect vs "&amp;E51</f>
        <v xml:space="preserve">  Graph of custom effect vs X2</v>
      </c>
      <c r="AI165" s="19"/>
      <c r="AJ165" s="19"/>
      <c r="AK165" s="19"/>
      <c r="AL165" s="19"/>
    </row>
    <row r="166" spans="1:38" s="9" customFormat="1" ht="12.95" customHeight="1" x14ac:dyDescent="0.2">
      <c r="A166" s="19"/>
      <c r="B166" s="610"/>
      <c r="C166" s="500"/>
      <c r="D166" s="501"/>
      <c r="E166" s="501"/>
      <c r="F166" s="501"/>
      <c r="G166" s="501"/>
      <c r="H166" s="501"/>
      <c r="I166" s="501"/>
      <c r="J166" s="502"/>
      <c r="K166" s="572"/>
      <c r="L166" s="401" t="s">
        <v>9</v>
      </c>
      <c r="M166" s="417">
        <f>IF(ISERROR(SQRT(M106^2-M73^2+NORMINV(0.5+M145/200,0,1)*SQRT(2*M73^4/M75+2*M106^4/M108))),-SQRT(-(M106^2-M73^2+NORMINV(0.5+M145/200,0,1)*SQRT(2*M73^4/M75+2*M106^4/M108))),SQRT(M106^2-M73^2+NORMINV(0.5+M145/200,0,1)*SQRT(2*M73^4/M75+2*M106^4/M108)))</f>
        <v>6.5513357416636833</v>
      </c>
      <c r="N166" s="417">
        <f>IF(ISERROR(SQRT(N106^2-N73^2+NORMINV(0.5+N145/200,0,1)*SQRT(2*N73^4/N75+2*N106^4/N108))),-SQRT(-(N106^2-N73^2+NORMINV(0.5+N145/200,0,1)*SQRT(2*N73^4/N75+2*N106^4/N108))),SQRT(N106^2-N73^2+NORMINV(0.5+N145/200,0,1)*SQRT(2*N73^4/N75+2*N106^4/N108)))</f>
        <v>6.5513357416636833</v>
      </c>
      <c r="O166" s="417">
        <f>IF(ISERROR(SQRT(O106^2-O73^2+NORMINV(0.5+O145/200,0,1)*SQRT(2*O73^4/O75+2*O106^4/O108))),-SQRT(-(O106^2-O73^2+NORMINV(0.5+O145/200,0,1)*SQRT(2*O73^4/O75+2*O106^4/O108))),SQRT(O106^2-O73^2+NORMINV(0.5+O145/200,0,1)*SQRT(2*O73^4/O75+2*O106^4/O108)))</f>
        <v>5.4764819954346295</v>
      </c>
      <c r="P166" s="417">
        <f>IF(ISERROR(SQRT(P106^2-P73^2+NORMINV(0.5+P145/200,0,1)*SQRT(2*P73^4/P75+2*P106^4/P108))),-SQRT(-(P106^2-P73^2+NORMINV(0.5+P145/200,0,1)*SQRT(2*P73^4/P75+2*P106^4/P108))),SQRT(P106^2-P73^2+NORMINV(0.5+P145/200,0,1)*SQRT(2*P73^4/P75+2*P106^4/P108)))</f>
        <v>5.4764819954346295</v>
      </c>
      <c r="Q166" s="53" t="str">
        <f>"  adjusted for "&amp;D51</f>
        <v xml:space="preserve">  adjusted for X1</v>
      </c>
      <c r="R166" s="51"/>
      <c r="S166" s="610"/>
      <c r="T166" s="500"/>
      <c r="U166" s="500"/>
      <c r="V166" s="514"/>
      <c r="W166" s="514"/>
      <c r="X166" s="514"/>
      <c r="Y166" s="514"/>
      <c r="Z166" s="514"/>
      <c r="AA166" s="515"/>
      <c r="AB166" s="613"/>
      <c r="AC166" s="401" t="s">
        <v>9</v>
      </c>
      <c r="AD166" s="424">
        <f t="shared" si="143"/>
        <v>1.5694181542228307</v>
      </c>
      <c r="AE166" s="425">
        <f t="shared" si="143"/>
        <v>1.5694181542228307</v>
      </c>
      <c r="AF166" s="425">
        <f t="shared" si="143"/>
        <v>1.3112956069922177</v>
      </c>
      <c r="AG166" s="425">
        <f t="shared" si="143"/>
        <v>1.3112956069922177</v>
      </c>
      <c r="AH166" s="53" t="str">
        <f>"  adjusted for "&amp;D51</f>
        <v xml:space="preserve">  adjusted for X1</v>
      </c>
      <c r="AI166" s="51"/>
      <c r="AJ166" s="51"/>
      <c r="AK166" s="51"/>
      <c r="AL166" s="51"/>
    </row>
    <row r="167" spans="1:38" x14ac:dyDescent="0.2">
      <c r="A167" s="51"/>
      <c r="B167" s="51"/>
      <c r="C167" s="51"/>
      <c r="D167" s="51"/>
      <c r="E167" s="51"/>
      <c r="F167" s="51"/>
      <c r="G167" s="51"/>
      <c r="H167" s="51"/>
      <c r="I167" s="51"/>
      <c r="J167" s="51"/>
      <c r="K167" s="51"/>
      <c r="L167" s="51"/>
      <c r="M167" s="51"/>
      <c r="N167" s="51"/>
      <c r="O167" s="51"/>
      <c r="P167" s="51"/>
      <c r="Q167" s="19"/>
      <c r="R167" s="19"/>
      <c r="S167" s="51"/>
      <c r="T167" s="51"/>
      <c r="U167" s="51"/>
      <c r="V167" s="51"/>
      <c r="W167" s="51"/>
      <c r="X167" s="51"/>
      <c r="Y167" s="51"/>
      <c r="Z167" s="51"/>
      <c r="AA167" s="51"/>
      <c r="AB167" s="51"/>
      <c r="AC167" s="51"/>
      <c r="AD167" s="51"/>
      <c r="AE167" s="51"/>
      <c r="AF167" s="51"/>
      <c r="AG167" s="51"/>
      <c r="AH167" s="19"/>
      <c r="AI167" s="19"/>
      <c r="AJ167" s="19"/>
      <c r="AK167" s="19"/>
      <c r="AL167" s="19"/>
    </row>
    <row r="168" spans="1:38" s="10" customFormat="1" ht="30" customHeight="1" x14ac:dyDescent="0.2">
      <c r="A168" s="19"/>
      <c r="B168" s="49"/>
      <c r="C168" s="49"/>
      <c r="D168" s="49"/>
      <c r="E168" s="49"/>
      <c r="F168" s="49"/>
      <c r="G168" s="49"/>
      <c r="H168" s="49"/>
      <c r="I168" s="49"/>
      <c r="J168" s="49"/>
      <c r="K168" s="49"/>
      <c r="L168" s="19"/>
      <c r="M168" s="19"/>
      <c r="N168" s="19"/>
      <c r="O168" s="19"/>
      <c r="P168" s="19"/>
      <c r="Q168" s="49"/>
      <c r="R168" s="49"/>
      <c r="S168" s="49"/>
      <c r="T168" s="49"/>
      <c r="U168" s="49"/>
      <c r="V168" s="49"/>
      <c r="W168" s="49"/>
      <c r="X168" s="49"/>
      <c r="Y168" s="49"/>
      <c r="Z168" s="49"/>
      <c r="AA168" s="49"/>
      <c r="AB168" s="49"/>
      <c r="AC168" s="18"/>
      <c r="AD168" s="51" t="str">
        <f>CONCATENATE($B$85,"/",$B$52," ratio")</f>
        <v>Exptal/Control ratio</v>
      </c>
      <c r="AE168" s="46"/>
      <c r="AF168" s="46"/>
      <c r="AG168" s="46"/>
      <c r="AH168" s="49"/>
      <c r="AI168" s="49"/>
      <c r="AJ168" s="49"/>
      <c r="AK168" s="49"/>
      <c r="AL168" s="49"/>
    </row>
    <row r="169" spans="1:38" ht="16.5" x14ac:dyDescent="0.2">
      <c r="A169" s="19"/>
      <c r="B169" s="51" t="s">
        <v>3</v>
      </c>
      <c r="C169" s="19"/>
      <c r="D169" s="19"/>
      <c r="E169" s="19"/>
      <c r="F169" s="19"/>
      <c r="G169" s="19"/>
      <c r="H169" s="19"/>
      <c r="I169" s="19"/>
      <c r="J169" s="19"/>
      <c r="K169" s="51" t="s">
        <v>3</v>
      </c>
      <c r="L169" s="51"/>
      <c r="M169" s="565" t="s">
        <v>100</v>
      </c>
      <c r="N169" s="565"/>
      <c r="O169" s="565" t="s">
        <v>101</v>
      </c>
      <c r="P169" s="565"/>
      <c r="Q169" s="19"/>
      <c r="R169" s="19"/>
      <c r="S169" s="51" t="s">
        <v>4</v>
      </c>
      <c r="T169" s="19"/>
      <c r="U169" s="51" t="str">
        <f>CONCATENATE($B$85,"/",$B$52," ratio")</f>
        <v>Exptal/Control ratio</v>
      </c>
      <c r="V169" s="19"/>
      <c r="W169" s="49"/>
      <c r="X169" s="51"/>
      <c r="Y169" s="51"/>
      <c r="Z169" s="51"/>
      <c r="AA169" s="51"/>
      <c r="AB169" s="51" t="s">
        <v>4</v>
      </c>
      <c r="AC169" s="51"/>
      <c r="AD169" s="565" t="s">
        <v>100</v>
      </c>
      <c r="AE169" s="565"/>
      <c r="AF169" s="565" t="s">
        <v>101</v>
      </c>
      <c r="AG169" s="565"/>
      <c r="AH169" s="19"/>
      <c r="AI169" s="48"/>
      <c r="AJ169" s="34"/>
      <c r="AK169" s="34"/>
      <c r="AL169" s="19"/>
    </row>
    <row r="170" spans="1:38" s="14" customFormat="1" ht="41.45" customHeight="1" x14ac:dyDescent="0.25">
      <c r="A170" s="49"/>
      <c r="B170" s="611" t="s">
        <v>229</v>
      </c>
      <c r="C170" s="612"/>
      <c r="D170" s="82" t="str">
        <f t="shared" ref="D170:J170" si="144">D51</f>
        <v>X1</v>
      </c>
      <c r="E170" s="82" t="str">
        <f t="shared" si="144"/>
        <v>X2</v>
      </c>
      <c r="F170" s="82" t="str">
        <f t="shared" si="144"/>
        <v>Pre1</v>
      </c>
      <c r="G170" s="82" t="str">
        <f t="shared" si="144"/>
        <v>Pre2</v>
      </c>
      <c r="H170" s="82" t="str">
        <f t="shared" si="144"/>
        <v>Post1</v>
      </c>
      <c r="I170" s="82" t="str">
        <f t="shared" si="144"/>
        <v>Post2</v>
      </c>
      <c r="J170" s="82" t="str">
        <f t="shared" si="144"/>
        <v>Post3</v>
      </c>
      <c r="K170" s="611" t="s">
        <v>205</v>
      </c>
      <c r="L170" s="612"/>
      <c r="M170" s="81" t="str">
        <f>M50</f>
        <v>Custom effect, not adjusted</v>
      </c>
      <c r="N170" s="81" t="str">
        <f>N50</f>
        <v>Custom effect, not adjusted</v>
      </c>
      <c r="O170" s="81" t="str">
        <f>O50</f>
        <v>Custom effect, adjusted</v>
      </c>
      <c r="P170" s="81" t="str">
        <f>P50</f>
        <v>Custom effect, adjusted</v>
      </c>
      <c r="Q170" s="52"/>
      <c r="R170" s="52"/>
      <c r="S170" s="614" t="s">
        <v>230</v>
      </c>
      <c r="T170" s="615"/>
      <c r="U170" s="457" t="str">
        <f>U51</f>
        <v>X1</v>
      </c>
      <c r="V170" s="457" t="str">
        <f>V51</f>
        <v>X2</v>
      </c>
      <c r="W170" s="458"/>
      <c r="X170" s="458"/>
      <c r="Y170" s="458"/>
      <c r="Z170" s="458"/>
      <c r="AA170" s="459"/>
      <c r="AB170" s="611" t="s">
        <v>206</v>
      </c>
      <c r="AC170" s="612"/>
      <c r="AD170" s="184" t="str">
        <f>AD50</f>
        <v>Custom effect, not adjusted</v>
      </c>
      <c r="AE170" s="184" t="str">
        <f>AE50</f>
        <v>Custom effect, not adjusted</v>
      </c>
      <c r="AF170" s="184" t="str">
        <f>AF50</f>
        <v>Custom effect, adjusted</v>
      </c>
      <c r="AG170" s="184" t="str">
        <f>AG50</f>
        <v>Custom effect, adjusted</v>
      </c>
      <c r="AH170" s="52"/>
      <c r="AI170" s="52"/>
      <c r="AJ170" s="52"/>
      <c r="AK170" s="52"/>
      <c r="AL170" s="52"/>
    </row>
    <row r="171" spans="1:38" s="8" customFormat="1" x14ac:dyDescent="0.2">
      <c r="A171" s="37"/>
      <c r="B171" s="37"/>
      <c r="C171" s="37"/>
      <c r="D171" s="112"/>
      <c r="E171" s="112"/>
      <c r="F171" s="37"/>
      <c r="G171" s="37"/>
      <c r="H171" s="37"/>
      <c r="I171" s="37"/>
      <c r="J171" s="37"/>
      <c r="K171" s="37"/>
      <c r="L171" s="37"/>
      <c r="M171" s="37"/>
      <c r="N171" s="37"/>
      <c r="O171" s="37"/>
      <c r="P171" s="37"/>
      <c r="Q171" s="37"/>
      <c r="R171" s="37"/>
      <c r="S171" s="460"/>
      <c r="T171" s="461"/>
      <c r="U171" s="458"/>
      <c r="V171" s="458"/>
      <c r="W171" s="458"/>
      <c r="X171" s="458"/>
      <c r="Y171" s="458"/>
      <c r="Z171" s="458"/>
      <c r="AA171" s="459"/>
      <c r="AB171" s="151"/>
      <c r="AC171" s="176" t="s">
        <v>240</v>
      </c>
      <c r="AD171" s="172">
        <f>$F$42</f>
        <v>0</v>
      </c>
      <c r="AE171" s="172">
        <f>$F$42</f>
        <v>0</v>
      </c>
      <c r="AF171" s="172">
        <f>$F$42</f>
        <v>0</v>
      </c>
      <c r="AG171" s="172">
        <f>$F$42</f>
        <v>0</v>
      </c>
      <c r="AH171" s="37"/>
      <c r="AI171" s="37"/>
      <c r="AJ171" s="37"/>
      <c r="AK171" s="37"/>
      <c r="AL171" s="37"/>
    </row>
    <row r="172" spans="1:38" s="8" customFormat="1" x14ac:dyDescent="0.2">
      <c r="A172" s="37"/>
      <c r="B172" s="37"/>
      <c r="C172" s="37"/>
      <c r="D172" s="112"/>
      <c r="E172" s="112"/>
      <c r="F172" s="37"/>
      <c r="G172" s="37"/>
      <c r="H172" s="37"/>
      <c r="I172" s="37"/>
      <c r="J172" s="37"/>
      <c r="K172" s="37"/>
      <c r="L172" s="37"/>
      <c r="M172" s="37"/>
      <c r="N172" s="37"/>
      <c r="O172" s="37"/>
      <c r="P172" s="37"/>
      <c r="Q172" s="37"/>
      <c r="R172" s="37"/>
      <c r="S172" s="462"/>
      <c r="T172" s="463"/>
      <c r="U172" s="464"/>
      <c r="V172" s="464"/>
      <c r="W172" s="464"/>
      <c r="X172" s="464"/>
      <c r="Y172" s="464"/>
      <c r="Z172" s="464"/>
      <c r="AA172" s="465"/>
      <c r="AB172" s="151"/>
      <c r="AC172" s="176" t="s">
        <v>62</v>
      </c>
      <c r="AD172" s="175">
        <f>AD138</f>
        <v>19</v>
      </c>
      <c r="AE172" s="404">
        <f>AE138</f>
        <v>19</v>
      </c>
      <c r="AF172" s="404">
        <f>AF138</f>
        <v>17</v>
      </c>
      <c r="AG172" s="404">
        <f>AG138</f>
        <v>17</v>
      </c>
      <c r="AH172" s="37"/>
      <c r="AI172" s="37"/>
      <c r="AJ172" s="37"/>
      <c r="AK172" s="37"/>
      <c r="AL172" s="37"/>
    </row>
    <row r="173" spans="1:38" s="8" customFormat="1" ht="12.95" customHeight="1" x14ac:dyDescent="0.2">
      <c r="A173" s="37"/>
      <c r="B173" s="37"/>
      <c r="C173" s="37"/>
      <c r="D173" s="112"/>
      <c r="E173" s="112"/>
      <c r="F173" s="37"/>
      <c r="G173" s="37"/>
      <c r="H173" s="37"/>
      <c r="I173" s="37"/>
      <c r="J173" s="37"/>
      <c r="K173" s="37"/>
      <c r="L173" s="37"/>
      <c r="M173" s="37"/>
      <c r="N173" s="37"/>
      <c r="O173" s="37"/>
      <c r="P173" s="37"/>
      <c r="Q173" s="37"/>
      <c r="R173" s="37"/>
      <c r="S173" s="466"/>
      <c r="T173" s="392" t="s">
        <v>225</v>
      </c>
      <c r="U173" s="503" t="str">
        <f>IF(U118=D118,"",EXP((U105-U72)/100))</f>
        <v/>
      </c>
      <c r="V173" s="503">
        <f>EXP((V105-V72)/100)</f>
        <v>0.99444654492045881</v>
      </c>
      <c r="W173" s="468"/>
      <c r="X173" s="468"/>
      <c r="Y173" s="468"/>
      <c r="Z173" s="468"/>
      <c r="AA173" s="469"/>
      <c r="AB173" s="151"/>
      <c r="AC173" s="176" t="s">
        <v>210</v>
      </c>
      <c r="AD173" s="189">
        <f>EXP(AD266/100)</f>
        <v>1.0208797381023309</v>
      </c>
      <c r="AE173" s="189">
        <f>EXP(AE137/100)</f>
        <v>1.0208797381023309</v>
      </c>
      <c r="AF173" s="189">
        <f>EXP(AF137/100)</f>
        <v>1.0206384688840164</v>
      </c>
      <c r="AG173" s="189">
        <f>EXP(AG137/100)</f>
        <v>1.0206384688840164</v>
      </c>
      <c r="AH173" s="37"/>
      <c r="AI173" s="37"/>
      <c r="AJ173" s="37"/>
      <c r="AK173" s="37"/>
      <c r="AL173" s="37"/>
    </row>
    <row r="174" spans="1:38" s="8" customFormat="1" ht="13.15" customHeight="1" x14ac:dyDescent="0.2">
      <c r="A174" s="37"/>
      <c r="B174" s="37"/>
      <c r="C174" s="37"/>
      <c r="D174" s="432"/>
      <c r="E174" s="432"/>
      <c r="F174" s="37"/>
      <c r="G174" s="37"/>
      <c r="H174" s="37"/>
      <c r="I174" s="37"/>
      <c r="J174" s="37"/>
      <c r="K174" s="37"/>
      <c r="L174" s="37"/>
      <c r="M174" s="37"/>
      <c r="N174" s="37"/>
      <c r="O174" s="37"/>
      <c r="P174" s="37"/>
      <c r="Q174" s="37"/>
      <c r="R174" s="37"/>
      <c r="S174" s="617"/>
      <c r="T174" s="470"/>
      <c r="U174" s="471"/>
      <c r="V174" s="471"/>
      <c r="W174" s="471"/>
      <c r="X174" s="471"/>
      <c r="Y174" s="471"/>
      <c r="Z174" s="471"/>
      <c r="AA174" s="472"/>
      <c r="AB174" s="568" t="s">
        <v>243</v>
      </c>
      <c r="AC174" s="405" t="s">
        <v>8</v>
      </c>
      <c r="AD174" s="190">
        <f>EXP(AD267/100)</f>
        <v>1.0208797381023309</v>
      </c>
      <c r="AE174" s="190">
        <f t="shared" ref="AE174:AG175" si="145">EXP(AE267/100)</f>
        <v>1.0208797381023309</v>
      </c>
      <c r="AF174" s="190">
        <f t="shared" si="145"/>
        <v>1.0206384688840164</v>
      </c>
      <c r="AG174" s="190">
        <f t="shared" si="145"/>
        <v>1.0206384688840164</v>
      </c>
      <c r="AH174" s="37"/>
      <c r="AI174" s="37"/>
      <c r="AJ174" s="37"/>
      <c r="AK174" s="37"/>
      <c r="AL174" s="37"/>
    </row>
    <row r="175" spans="1:38" s="8" customFormat="1" x14ac:dyDescent="0.2">
      <c r="A175" s="37"/>
      <c r="B175" s="37"/>
      <c r="C175" s="37"/>
      <c r="D175" s="432"/>
      <c r="E175" s="432"/>
      <c r="F175" s="37"/>
      <c r="G175" s="37"/>
      <c r="H175" s="37"/>
      <c r="I175" s="37"/>
      <c r="J175" s="37"/>
      <c r="K175" s="37"/>
      <c r="L175" s="37"/>
      <c r="M175" s="37"/>
      <c r="N175" s="37"/>
      <c r="O175" s="37"/>
      <c r="P175" s="37"/>
      <c r="Q175" s="37"/>
      <c r="R175" s="37"/>
      <c r="S175" s="618"/>
      <c r="T175" s="473"/>
      <c r="U175" s="474"/>
      <c r="V175" s="474"/>
      <c r="W175" s="474"/>
      <c r="X175" s="474"/>
      <c r="Y175" s="474"/>
      <c r="Z175" s="474"/>
      <c r="AA175" s="475"/>
      <c r="AB175" s="569"/>
      <c r="AC175" s="406" t="s">
        <v>9</v>
      </c>
      <c r="AD175" s="191">
        <f>EXP(AD268/100)</f>
        <v>1.0208797381023309</v>
      </c>
      <c r="AE175" s="191">
        <f t="shared" si="145"/>
        <v>1.0208797381023309</v>
      </c>
      <c r="AF175" s="191">
        <f t="shared" si="145"/>
        <v>1.0206384688840164</v>
      </c>
      <c r="AG175" s="191">
        <f t="shared" si="145"/>
        <v>1.0206384688840164</v>
      </c>
      <c r="AH175" s="37"/>
      <c r="AI175" s="37"/>
      <c r="AJ175" s="37"/>
      <c r="AK175" s="37"/>
      <c r="AL175" s="37"/>
    </row>
    <row r="176" spans="1:38" s="8" customFormat="1" ht="12.95" customHeight="1" x14ac:dyDescent="0.2">
      <c r="A176" s="37"/>
      <c r="B176" s="37"/>
      <c r="C176" s="37"/>
      <c r="D176" s="112"/>
      <c r="E176" s="112"/>
      <c r="F176" s="37"/>
      <c r="G176" s="37"/>
      <c r="H176" s="37"/>
      <c r="I176" s="37"/>
      <c r="J176" s="37"/>
      <c r="K176" s="37"/>
      <c r="L176" s="37"/>
      <c r="M176" s="37"/>
      <c r="N176" s="37"/>
      <c r="O176" s="37"/>
      <c r="P176" s="37"/>
      <c r="Q176" s="37"/>
      <c r="R176" s="37"/>
      <c r="S176" s="618"/>
      <c r="T176" s="476"/>
      <c r="U176" s="477"/>
      <c r="V176" s="477"/>
      <c r="W176" s="477"/>
      <c r="X176" s="477"/>
      <c r="Y176" s="477"/>
      <c r="Z176" s="477"/>
      <c r="AA176" s="478"/>
      <c r="AB176" s="570"/>
      <c r="AC176" s="182" t="s">
        <v>215</v>
      </c>
      <c r="AD176" s="192">
        <f>SQRT(AD175/AD174)</f>
        <v>1</v>
      </c>
      <c r="AE176" s="192">
        <f>SQRT(AE175/AE174)</f>
        <v>1</v>
      </c>
      <c r="AF176" s="192">
        <f>SQRT(AF175/AF174)</f>
        <v>1</v>
      </c>
      <c r="AG176" s="192">
        <f>SQRT(AG175/AG174)</f>
        <v>1</v>
      </c>
      <c r="AH176" s="37"/>
      <c r="AI176" s="37"/>
      <c r="AJ176" s="37"/>
      <c r="AK176" s="37"/>
      <c r="AL176" s="37"/>
    </row>
    <row r="177" spans="1:38" s="433" customFormat="1" ht="13.15" customHeight="1" x14ac:dyDescent="0.2">
      <c r="A177" s="22"/>
      <c r="B177" s="22"/>
      <c r="C177" s="22"/>
      <c r="D177" s="195"/>
      <c r="E177" s="195"/>
      <c r="F177" s="22"/>
      <c r="G177" s="22"/>
      <c r="H177" s="22"/>
      <c r="I177" s="22"/>
      <c r="J177" s="22"/>
      <c r="K177" s="22"/>
      <c r="L177" s="22"/>
      <c r="M177" s="22"/>
      <c r="N177" s="22"/>
      <c r="O177" s="22"/>
      <c r="P177" s="22"/>
      <c r="Q177" s="22"/>
      <c r="R177" s="22"/>
      <c r="S177" s="616"/>
      <c r="T177" s="479"/>
      <c r="U177" s="480"/>
      <c r="V177" s="480"/>
      <c r="W177" s="480"/>
      <c r="X177" s="480"/>
      <c r="Y177" s="480"/>
      <c r="Z177" s="480"/>
      <c r="AA177" s="481"/>
      <c r="AB177" s="596" t="s">
        <v>245</v>
      </c>
      <c r="AC177" s="407" t="str">
        <f>"&gt; or "&amp;IF($C$38&gt;1,"harmful","beneficial")</f>
        <v>&gt; or beneficial</v>
      </c>
      <c r="AD177" s="418" t="str">
        <f>IF(ISBLANK($C$38),"",MAX($C$38,$D$38))</f>
        <v/>
      </c>
      <c r="AE177" s="418" t="str">
        <f>IF(ISBLANK($C$38),"",MAX($C$38,$D$38))</f>
        <v/>
      </c>
      <c r="AF177" s="418" t="str">
        <f>IF(ISBLANK($C$38),"",MAX($C$38,$D$38))</f>
        <v/>
      </c>
      <c r="AG177" s="418" t="str">
        <f>IF(ISBLANK($C$38),"",MAX($C$38,$D$38))</f>
        <v/>
      </c>
      <c r="AH177" s="22"/>
      <c r="AI177" s="22"/>
      <c r="AJ177" s="22"/>
      <c r="AK177" s="22"/>
      <c r="AL177" s="22"/>
    </row>
    <row r="178" spans="1:38" s="433" customFormat="1" ht="12.95" customHeight="1" x14ac:dyDescent="0.2">
      <c r="A178" s="22"/>
      <c r="B178" s="22"/>
      <c r="C178" s="22"/>
      <c r="D178" s="196"/>
      <c r="E178" s="196"/>
      <c r="F178" s="22"/>
      <c r="G178" s="22"/>
      <c r="H178" s="22"/>
      <c r="I178" s="22"/>
      <c r="J178" s="22"/>
      <c r="K178" s="22"/>
      <c r="L178" s="22"/>
      <c r="M178" s="22"/>
      <c r="N178" s="22"/>
      <c r="O178" s="22"/>
      <c r="P178" s="22"/>
      <c r="Q178" s="22"/>
      <c r="R178" s="22"/>
      <c r="S178" s="616"/>
      <c r="T178" s="482"/>
      <c r="U178" s="480"/>
      <c r="V178" s="480"/>
      <c r="W178" s="480"/>
      <c r="X178" s="480"/>
      <c r="Y178" s="480"/>
      <c r="Z178" s="480"/>
      <c r="AA178" s="481"/>
      <c r="AB178" s="613"/>
      <c r="AC178" s="409" t="str">
        <f>"&lt; or "&amp;IF($C$38&lt;1,"harmful","beneficial")</f>
        <v>&lt; or harmful</v>
      </c>
      <c r="AD178" s="418" t="str">
        <f>IF(ISBLANK($C$38),"",MIN($C$38,$D$38))</f>
        <v/>
      </c>
      <c r="AE178" s="418" t="str">
        <f>IF(ISBLANK($C$38),"",MIN($C$38,$D$38))</f>
        <v/>
      </c>
      <c r="AF178" s="418" t="str">
        <f>IF(ISBLANK($C$38),"",MIN($C$38,$D$38))</f>
        <v/>
      </c>
      <c r="AG178" s="418" t="str">
        <f>IF(ISBLANK($C$38),"",MIN($C$38,$D$38))</f>
        <v/>
      </c>
      <c r="AH178" s="22"/>
      <c r="AI178" s="22"/>
      <c r="AJ178" s="22"/>
      <c r="AK178" s="22"/>
      <c r="AL178" s="22"/>
    </row>
    <row r="179" spans="1:38" s="433" customFormat="1" ht="12.95" customHeight="1" x14ac:dyDescent="0.2">
      <c r="A179" s="22"/>
      <c r="B179" s="22"/>
      <c r="C179" s="22"/>
      <c r="D179" s="434"/>
      <c r="E179" s="434"/>
      <c r="F179" s="22"/>
      <c r="G179" s="22"/>
      <c r="H179" s="22"/>
      <c r="I179" s="22"/>
      <c r="J179" s="22"/>
      <c r="K179" s="22"/>
      <c r="L179" s="22"/>
      <c r="M179" s="22"/>
      <c r="N179" s="22"/>
      <c r="O179" s="22"/>
      <c r="P179" s="22"/>
      <c r="Q179" s="22"/>
      <c r="R179" s="22"/>
      <c r="S179" s="616"/>
      <c r="T179" s="604"/>
      <c r="U179" s="483"/>
      <c r="V179" s="483"/>
      <c r="W179" s="483"/>
      <c r="X179" s="483"/>
      <c r="Y179" s="483"/>
      <c r="Z179" s="483"/>
      <c r="AA179" s="484"/>
      <c r="AB179" s="596" t="s">
        <v>135</v>
      </c>
      <c r="AC179" s="600" t="str">
        <f>"a substantial increase (&gt;) or "&amp;IF($C$38&gt;1,"harmful","beneficial")</f>
        <v>a substantial increase (&gt;) or beneficial</v>
      </c>
      <c r="AD179" s="668" t="e">
        <f>IF(ISERROR(TDIST((100*LN(AD177)-AD$137)/AD$139,AD172,1)),1-TDIST((AD$137-100*LN(AD177))/AD$139,AD172,1),TDIST((100*LN(AD177)-AD$137)/AD$139,AD172,1))*100</f>
        <v>#VALUE!</v>
      </c>
      <c r="AE179" s="668" t="e">
        <f>IF(ISERROR(TDIST((100*LN(AE177)-AE$137)/AE$139,AE172,1)),1-TDIST((AE$137-100*LN(AE177))/AE$139,AE172,1),TDIST((100*LN(AE177)-AE$137)/AE$139,AE172,1))*100</f>
        <v>#VALUE!</v>
      </c>
      <c r="AF179" s="668" t="e">
        <f>IF(ISERROR(TDIST((100*LN(AF177)-AF$137)/AF$139,AF172,1)),1-TDIST((AF$137-100*LN(AF177))/AF$139,AF172,1),TDIST((100*LN(AF177)-AF$137)/AF$139,AF172,1))*100</f>
        <v>#VALUE!</v>
      </c>
      <c r="AG179" s="668" t="e">
        <f>IF(ISERROR(TDIST((100*LN(AG177)-AG$137)/AG$139,AG172,1)),1-TDIST((AG$137-100*LN(AG177))/AG$139,AG172,1),TDIST((100*LN(AG177)-AG$137)/AG$139,AG172,1))*100</f>
        <v>#VALUE!</v>
      </c>
      <c r="AH179" s="22"/>
      <c r="AI179" s="22"/>
      <c r="AJ179" s="22"/>
      <c r="AK179" s="22"/>
      <c r="AL179" s="22"/>
    </row>
    <row r="180" spans="1:38" s="433" customFormat="1" ht="30.95" customHeight="1" x14ac:dyDescent="0.2">
      <c r="A180" s="22"/>
      <c r="B180" s="22"/>
      <c r="C180" s="22"/>
      <c r="D180" s="197"/>
      <c r="E180" s="197"/>
      <c r="F180" s="22"/>
      <c r="G180" s="22"/>
      <c r="H180" s="22"/>
      <c r="I180" s="22"/>
      <c r="J180" s="22"/>
      <c r="K180" s="22"/>
      <c r="L180" s="22"/>
      <c r="M180" s="22"/>
      <c r="N180" s="22"/>
      <c r="O180" s="22"/>
      <c r="P180" s="22"/>
      <c r="Q180" s="22"/>
      <c r="R180" s="22"/>
      <c r="S180" s="616"/>
      <c r="T180" s="605"/>
      <c r="U180" s="485"/>
      <c r="V180" s="485"/>
      <c r="W180" s="485"/>
      <c r="X180" s="485"/>
      <c r="Y180" s="485"/>
      <c r="Z180" s="485"/>
      <c r="AA180" s="486"/>
      <c r="AB180" s="597"/>
      <c r="AC180" s="601"/>
      <c r="AD180" s="410" t="e">
        <f>IF(AD179&lt;0.5,"most unlikely",IF(AD179&lt;5,"very unlikely",IF(AD179&lt;25,"unlikely",IF(AD179&lt;75,"possibly",IF(AD179&lt;95,"likely",IF(AD179&lt;99.5,"very likely","most likely"))))))</f>
        <v>#VALUE!</v>
      </c>
      <c r="AE180" s="410" t="e">
        <f>IF(AE179&lt;0.5,"most unlikely",IF(AE179&lt;5,"very unlikely",IF(AE179&lt;25,"unlikely",IF(AE179&lt;75,"possibly",IF(AE179&lt;95,"likely",IF(AE179&lt;99.5,"very likely","most likely"))))))</f>
        <v>#VALUE!</v>
      </c>
      <c r="AF180" s="410" t="e">
        <f>IF(AF179&lt;0.5,"most unlikely",IF(AF179&lt;5,"very unlikely",IF(AF179&lt;25,"unlikely",IF(AF179&lt;75,"possibly",IF(AF179&lt;95,"likely",IF(AF179&lt;99.5,"very likely","most likely"))))))</f>
        <v>#VALUE!</v>
      </c>
      <c r="AG180" s="410" t="e">
        <f>IF(AG179&lt;0.5,"most unlikely",IF(AG179&lt;5,"very unlikely",IF(AG179&lt;25,"unlikely",IF(AG179&lt;75,"possibly",IF(AG179&lt;95,"likely",IF(AG179&lt;99.5,"very likely","most likely"))))))</f>
        <v>#VALUE!</v>
      </c>
      <c r="AH180" s="22"/>
      <c r="AI180" s="22"/>
      <c r="AJ180" s="22"/>
      <c r="AK180" s="22"/>
      <c r="AL180" s="22"/>
    </row>
    <row r="181" spans="1:38" s="433" customFormat="1" ht="12.95" customHeight="1" x14ac:dyDescent="0.2">
      <c r="A181" s="22"/>
      <c r="B181" s="22"/>
      <c r="C181" s="22"/>
      <c r="D181" s="22"/>
      <c r="E181" s="22"/>
      <c r="F181" s="22"/>
      <c r="G181" s="22"/>
      <c r="H181" s="22"/>
      <c r="I181" s="22"/>
      <c r="J181" s="22"/>
      <c r="K181" s="22"/>
      <c r="L181" s="22"/>
      <c r="M181" s="22"/>
      <c r="N181" s="22"/>
      <c r="O181" s="22"/>
      <c r="P181" s="22"/>
      <c r="Q181" s="22"/>
      <c r="R181" s="22"/>
      <c r="S181" s="616"/>
      <c r="T181" s="606"/>
      <c r="U181" s="483"/>
      <c r="V181" s="483"/>
      <c r="W181" s="483"/>
      <c r="X181" s="483"/>
      <c r="Y181" s="483"/>
      <c r="Z181" s="483"/>
      <c r="AA181" s="484"/>
      <c r="AB181" s="597"/>
      <c r="AC181" s="598" t="s">
        <v>11</v>
      </c>
      <c r="AD181" s="668" t="e">
        <f>100-AD179-AD183</f>
        <v>#VALUE!</v>
      </c>
      <c r="AE181" s="668" t="e">
        <f>100-AE179-AE183</f>
        <v>#VALUE!</v>
      </c>
      <c r="AF181" s="668" t="e">
        <f>100-AF179-AF183</f>
        <v>#VALUE!</v>
      </c>
      <c r="AG181" s="668" t="e">
        <f>100-AG179-AG183</f>
        <v>#VALUE!</v>
      </c>
      <c r="AH181" s="22"/>
      <c r="AI181" s="22"/>
      <c r="AJ181" s="22"/>
      <c r="AK181" s="22"/>
      <c r="AL181" s="22"/>
    </row>
    <row r="182" spans="1:38" s="433" customFormat="1" ht="30.95" customHeight="1" x14ac:dyDescent="0.2">
      <c r="A182" s="22"/>
      <c r="B182" s="22"/>
      <c r="C182" s="22"/>
      <c r="D182" s="22"/>
      <c r="E182" s="22"/>
      <c r="F182" s="22"/>
      <c r="G182" s="22"/>
      <c r="H182" s="22"/>
      <c r="I182" s="22"/>
      <c r="J182" s="22"/>
      <c r="K182" s="22"/>
      <c r="L182" s="22"/>
      <c r="M182" s="22"/>
      <c r="N182" s="22"/>
      <c r="O182" s="22"/>
      <c r="P182" s="22"/>
      <c r="Q182" s="22"/>
      <c r="R182" s="22"/>
      <c r="S182" s="616"/>
      <c r="T182" s="606"/>
      <c r="U182" s="485"/>
      <c r="V182" s="485"/>
      <c r="W182" s="485"/>
      <c r="X182" s="485"/>
      <c r="Y182" s="485"/>
      <c r="Z182" s="485"/>
      <c r="AA182" s="486"/>
      <c r="AB182" s="597"/>
      <c r="AC182" s="599"/>
      <c r="AD182" s="410" t="e">
        <f>IF(AD181&lt;0.5,"most unlikely",IF(AD181&lt;5,"very unlikely",IF(AD181&lt;25,"unlikely",IF(AD181&lt;75,"possibly",IF(AD181&lt;95,"likely",IF(AD181&lt;99.5,"very likely","most likely"))))))</f>
        <v>#VALUE!</v>
      </c>
      <c r="AE182" s="410" t="e">
        <f>IF(AE181&lt;0.5,"most unlikely",IF(AE181&lt;5,"very unlikely",IF(AE181&lt;25,"unlikely",IF(AE181&lt;75,"possibly",IF(AE181&lt;95,"likely",IF(AE181&lt;99.5,"very likely","most likely"))))))</f>
        <v>#VALUE!</v>
      </c>
      <c r="AF182" s="410" t="e">
        <f>IF(AF181&lt;0.5,"most unlikely",IF(AF181&lt;5,"very unlikely",IF(AF181&lt;25,"unlikely",IF(AF181&lt;75,"possibly",IF(AF181&lt;95,"likely",IF(AF181&lt;99.5,"very likely","most likely"))))))</f>
        <v>#VALUE!</v>
      </c>
      <c r="AG182" s="410" t="e">
        <f>IF(AG181&lt;0.5,"most unlikely",IF(AG181&lt;5,"very unlikely",IF(AG181&lt;25,"unlikely",IF(AG181&lt;75,"possibly",IF(AG181&lt;95,"likely",IF(AG181&lt;99.5,"very likely","most likely"))))))</f>
        <v>#VALUE!</v>
      </c>
      <c r="AH182" s="22"/>
      <c r="AI182" s="22"/>
      <c r="AJ182" s="22"/>
      <c r="AK182" s="22"/>
      <c r="AL182" s="22"/>
    </row>
    <row r="183" spans="1:38" s="433" customFormat="1" ht="12.95" customHeight="1" x14ac:dyDescent="0.2">
      <c r="A183" s="22"/>
      <c r="B183" s="22"/>
      <c r="C183" s="22"/>
      <c r="D183" s="22"/>
      <c r="E183" s="22"/>
      <c r="F183" s="22"/>
      <c r="G183" s="22"/>
      <c r="H183" s="22"/>
      <c r="I183" s="22"/>
      <c r="J183" s="22"/>
      <c r="K183" s="22"/>
      <c r="L183" s="22"/>
      <c r="M183" s="22"/>
      <c r="N183" s="22"/>
      <c r="O183" s="22"/>
      <c r="P183" s="22"/>
      <c r="Q183" s="22"/>
      <c r="R183" s="22"/>
      <c r="S183" s="616"/>
      <c r="T183" s="607"/>
      <c r="U183" s="483"/>
      <c r="V183" s="483"/>
      <c r="W183" s="483"/>
      <c r="X183" s="483"/>
      <c r="Y183" s="483"/>
      <c r="Z183" s="483"/>
      <c r="AA183" s="484"/>
      <c r="AB183" s="597"/>
      <c r="AC183" s="602" t="str">
        <f>"a substantial decrease (&lt;) or "&amp;IF($C$38&lt;1,"harmful","beneficial")</f>
        <v>a substantial decrease (&lt;) or harmful</v>
      </c>
      <c r="AD183" s="668" t="e">
        <f>IF(ISERROR(TDIST((100*LN(AD178)-AD$137)/AD$139,AD172,1)),TDIST((AD$137-100*LN(AD178))/AD$139,AD172,1),1-TDIST((100*LN(AD178)-AD$137)/AD$139,AD172,1))*100</f>
        <v>#VALUE!</v>
      </c>
      <c r="AE183" s="668" t="e">
        <f>IF(ISERROR(TDIST((100*LN(AE178)-AE$137)/AE$139,AE172,1)),TDIST((AE$137-100*LN(AE178))/AE$139,AE172,1),1-TDIST((100*LN(AE178)-AE$137)/AE$139,AE172,1))*100</f>
        <v>#VALUE!</v>
      </c>
      <c r="AF183" s="668" t="e">
        <f>IF(ISERROR(TDIST((100*LN(AF178)-AF$137)/AF$139,AF172,1)),TDIST((AF$137-100*LN(AF178))/AF$139,AF172,1),1-TDIST((100*LN(AF178)-AF$137)/AF$139,AF172,1))*100</f>
        <v>#VALUE!</v>
      </c>
      <c r="AG183" s="668" t="e">
        <f>IF(ISERROR(TDIST((100*LN(AG178)-AG$137)/AG$139,AG172,1)),TDIST((AG$137-100*LN(AG178))/AG$139,AG172,1),1-TDIST((100*LN(AG178)-AG$137)/AG$139,AG172,1))*100</f>
        <v>#VALUE!</v>
      </c>
      <c r="AH183" s="22"/>
      <c r="AI183" s="22"/>
      <c r="AJ183" s="22"/>
      <c r="AK183" s="22"/>
      <c r="AL183" s="22"/>
    </row>
    <row r="184" spans="1:38" s="433" customFormat="1" ht="30.95" customHeight="1" x14ac:dyDescent="0.2">
      <c r="A184" s="22"/>
      <c r="B184" s="22"/>
      <c r="C184" s="22"/>
      <c r="D184" s="22"/>
      <c r="E184" s="22"/>
      <c r="F184" s="22"/>
      <c r="G184" s="22"/>
      <c r="H184" s="22"/>
      <c r="I184" s="22"/>
      <c r="J184" s="22"/>
      <c r="K184" s="22"/>
      <c r="L184" s="22"/>
      <c r="M184" s="22"/>
      <c r="N184" s="22"/>
      <c r="O184" s="22"/>
      <c r="P184" s="22"/>
      <c r="Q184" s="22"/>
      <c r="R184" s="22"/>
      <c r="S184" s="616"/>
      <c r="T184" s="608"/>
      <c r="U184" s="485"/>
      <c r="V184" s="485"/>
      <c r="W184" s="485"/>
      <c r="X184" s="485"/>
      <c r="Y184" s="485"/>
      <c r="Z184" s="485"/>
      <c r="AA184" s="486"/>
      <c r="AB184" s="597"/>
      <c r="AC184" s="603"/>
      <c r="AD184" s="410" t="e">
        <f>IF(AD183&lt;0.5,"most unlikely",IF(AD183&lt;5,"very unlikely",IF(AD183&lt;25,"unlikely",IF(AD183&lt;75,"possibly",IF(AD183&lt;95,"likely",IF(AD183&lt;99.5,"very likely","most likely"))))))</f>
        <v>#VALUE!</v>
      </c>
      <c r="AE184" s="410" t="e">
        <f>IF(AE183&lt;0.5,"most unlikely",IF(AE183&lt;5,"very unlikely",IF(AE183&lt;25,"unlikely",IF(AE183&lt;75,"possibly",IF(AE183&lt;95,"likely",IF(AE183&lt;99.5,"very likely","most likely"))))))</f>
        <v>#VALUE!</v>
      </c>
      <c r="AF184" s="410" t="e">
        <f>IF(AF183&lt;0.5,"most unlikely",IF(AF183&lt;5,"very unlikely",IF(AF183&lt;25,"unlikely",IF(AF183&lt;75,"possibly",IF(AF183&lt;95,"likely",IF(AF183&lt;99.5,"very likely","most likely"))))))</f>
        <v>#VALUE!</v>
      </c>
      <c r="AG184" s="410" t="e">
        <f>IF(AG183&lt;0.5,"most unlikely",IF(AG183&lt;5,"very unlikely",IF(AG183&lt;25,"unlikely",IF(AG183&lt;75,"possibly",IF(AG183&lt;95,"likely",IF(AG183&lt;99.5,"very likely","most likely"))))))</f>
        <v>#VALUE!</v>
      </c>
      <c r="AH184" s="22"/>
      <c r="AI184" s="22"/>
      <c r="AJ184" s="22"/>
      <c r="AK184" s="22"/>
      <c r="AL184" s="22"/>
    </row>
    <row r="185" spans="1:38" s="433" customFormat="1" ht="35.1" customHeight="1" x14ac:dyDescent="0.2">
      <c r="A185" s="22"/>
      <c r="B185" s="22"/>
      <c r="C185" s="22"/>
      <c r="D185" s="22"/>
      <c r="E185" s="22"/>
      <c r="F185" s="22"/>
      <c r="G185" s="22"/>
      <c r="H185" s="22"/>
      <c r="I185" s="22"/>
      <c r="J185" s="22"/>
      <c r="K185" s="22"/>
      <c r="L185" s="22"/>
      <c r="M185" s="22"/>
      <c r="N185" s="22"/>
      <c r="O185" s="22"/>
      <c r="P185" s="22"/>
      <c r="Q185" s="22"/>
      <c r="R185" s="22"/>
      <c r="S185" s="594"/>
      <c r="T185" s="595"/>
      <c r="U185" s="487"/>
      <c r="V185" s="487"/>
      <c r="W185" s="487"/>
      <c r="X185" s="487"/>
      <c r="Y185" s="487"/>
      <c r="Z185" s="487"/>
      <c r="AA185" s="488"/>
      <c r="AB185" s="580" t="str">
        <f>"Non-clinical  decision, based on threshold chances of "&amp;$F$44&amp;"% for substantial magnitudes"</f>
        <v>Non-clinical  decision, based on threshold chances of 50% for substantial magnitudes</v>
      </c>
      <c r="AC185" s="581"/>
      <c r="AD185" s="403" t="e">
        <f>IF(MIN(AD179,AD183)&gt;$F$44,"unclear; get more data",IF(AD179&gt;25,AD180&amp;" +ive",IF(AD183&gt;25,AD184&amp;" –ive",AD182&amp;" trivial")))</f>
        <v>#VALUE!</v>
      </c>
      <c r="AE185" s="403" t="e">
        <f t="shared" ref="AE185" si="146">IF(MIN(AE179,AE183)&gt;$F$44,"unclear; get more data",IF(AE179&gt;25,AE180&amp;" +ive",IF(AE183&gt;25,AE184&amp;" –ive",AE182&amp;" trivial")))</f>
        <v>#VALUE!</v>
      </c>
      <c r="AF185" s="403" t="e">
        <f t="shared" ref="AF185" si="147">IF(MIN(AF179,AF183)&gt;$F$44,"unclear; get more data",IF(AF179&gt;25,AF180&amp;" +ive",IF(AF183&gt;25,AF184&amp;" –ive",AF182&amp;" trivial")))</f>
        <v>#VALUE!</v>
      </c>
      <c r="AG185" s="403" t="e">
        <f t="shared" ref="AG185" si="148">IF(MIN(AG179,AG183)&gt;$F$44,"unclear; get more data",IF(AG179&gt;25,AG180&amp;" +ive",IF(AG183&gt;25,AG184&amp;" –ive",AG182&amp;" trivial")))</f>
        <v>#VALUE!</v>
      </c>
      <c r="AH185" s="22"/>
      <c r="AI185" s="22"/>
      <c r="AJ185" s="22"/>
      <c r="AK185" s="22"/>
      <c r="AL185" s="22"/>
    </row>
    <row r="186" spans="1:38" s="433" customFormat="1" ht="35.1" customHeight="1" x14ac:dyDescent="0.2">
      <c r="A186" s="22"/>
      <c r="B186" s="22"/>
      <c r="C186" s="22"/>
      <c r="D186" s="22"/>
      <c r="E186" s="22"/>
      <c r="F186" s="22"/>
      <c r="G186" s="22"/>
      <c r="H186" s="22"/>
      <c r="I186" s="22"/>
      <c r="J186" s="22"/>
      <c r="K186" s="22"/>
      <c r="L186" s="22"/>
      <c r="M186" s="22"/>
      <c r="N186" s="22"/>
      <c r="O186" s="22"/>
      <c r="P186" s="22"/>
      <c r="Q186" s="22"/>
      <c r="R186" s="22"/>
      <c r="S186" s="594"/>
      <c r="T186" s="595"/>
      <c r="U186" s="489"/>
      <c r="V186" s="489"/>
      <c r="W186" s="489"/>
      <c r="X186" s="489"/>
      <c r="Y186" s="489"/>
      <c r="Z186" s="489"/>
      <c r="AA186" s="490"/>
      <c r="AB186" s="580" t="str">
        <f>"Clinical decision, based on threshold chances of harm and benefit of "&amp;$F$45&amp;"% and "&amp;$F$46&amp;"%"</f>
        <v>Clinical decision, based on threshold chances of harm and benefit of 5% and 250%</v>
      </c>
      <c r="AC186" s="581"/>
      <c r="AD186" s="403" t="e">
        <f>IF($C$38&gt;1,IF(AD183&gt;$F$46,IF(AD179&lt;$F$45,AD184&amp;" beneficial","unclear; get more data"),IF(AD179&gt;25,AD180&amp;" harmful",AD182&amp;" trivial")),IF(AD179&gt;$F$46,IF(AD183&lt;$F$45,AD180&amp;" beneficial","unclear; get more data"),IF(AD183&gt;25,AD184&amp;" harmful",AD182&amp;" trivial")))</f>
        <v>#VALUE!</v>
      </c>
      <c r="AE186" s="403" t="e">
        <f>IF($C$38&gt;1,IF(AE183&gt;$F$46,IF(AE179&lt;$F$45,AE184&amp;" beneficial","unclear; get more data"),IF(AE179&gt;25,AE180&amp;" harmful",AE182&amp;" trivial")),IF(AE179&gt;$F$46,IF(AE183&lt;$F$45,AE180&amp;" beneficial","unclear; get more data"),IF(AE183&gt;25,AE184&amp;" harmful",AE182&amp;" trivial")))</f>
        <v>#VALUE!</v>
      </c>
      <c r="AF186" s="403" t="e">
        <f>IF($C$38&gt;1,IF(AF183&gt;$F$46,IF(AF179&lt;$F$45,AF184&amp;" beneficial","unclear; get more data"),IF(AF179&gt;25,AF180&amp;" harmful",AF182&amp;" trivial")),IF(AF179&gt;$F$46,IF(AF183&lt;$F$45,AF180&amp;" beneficial","unclear; get more data"),IF(AF183&gt;25,AF184&amp;" harmful",AF182&amp;" trivial")))</f>
        <v>#VALUE!</v>
      </c>
      <c r="AG186" s="403" t="e">
        <f>IF($C$38&gt;1,IF(AG183&gt;$F$46,IF(AG179&lt;$F$45,AG184&amp;" beneficial","unclear; get more data"),IF(AG179&gt;25,AG180&amp;" harmful",AG182&amp;" trivial")),IF(AG179&gt;$F$46,IF(AG183&lt;$F$45,AG180&amp;" beneficial","unclear; get more data"),IF(AG183&gt;25,AG184&amp;" harmful",AG182&amp;" trivial")))</f>
        <v>#VALUE!</v>
      </c>
      <c r="AH186" s="22"/>
      <c r="AI186" s="22"/>
      <c r="AJ186" s="22"/>
      <c r="AK186" s="22"/>
      <c r="AL186" s="22"/>
    </row>
    <row r="187" spans="1:38" s="433" customFormat="1" ht="12.95" customHeight="1" x14ac:dyDescent="0.2">
      <c r="A187" s="22"/>
      <c r="B187" s="22"/>
      <c r="C187" s="22"/>
      <c r="D187" s="22"/>
      <c r="E187" s="22"/>
      <c r="F187" s="22"/>
      <c r="G187" s="22"/>
      <c r="H187" s="22"/>
      <c r="I187" s="22"/>
      <c r="J187" s="22"/>
      <c r="K187" s="22"/>
      <c r="L187" s="22"/>
      <c r="M187" s="22"/>
      <c r="N187" s="22"/>
      <c r="O187" s="22"/>
      <c r="P187" s="22"/>
      <c r="Q187" s="22"/>
      <c r="R187" s="22"/>
      <c r="S187" s="594"/>
      <c r="T187" s="595"/>
      <c r="U187" s="491"/>
      <c r="V187" s="491"/>
      <c r="W187" s="491"/>
      <c r="X187" s="491"/>
      <c r="Y187" s="491"/>
      <c r="Z187" s="491"/>
      <c r="AA187" s="492"/>
      <c r="AB187" s="580" t="s">
        <v>82</v>
      </c>
      <c r="AC187" s="581"/>
      <c r="AD187" s="411" t="e">
        <f>IF($C$38&gt;1,AD183/(100-AD183)/(AD179/(100-AD179)),AD179/(100-AD179)/(AD183/(100-AD183)))</f>
        <v>#VALUE!</v>
      </c>
      <c r="AE187" s="411" t="e">
        <f>IF($C$38&gt;1,AE183/(100-AE183)/(AE179/(100-AE179)),AE179/(100-AE179)/(AE183/(100-AE183)))</f>
        <v>#VALUE!</v>
      </c>
      <c r="AF187" s="411" t="e">
        <f>IF($C$38&gt;1,AF183/(100-AF183)/(AF179/(100-AF179)),AF179/(100-AF179)/(AF183/(100-AF183)))</f>
        <v>#VALUE!</v>
      </c>
      <c r="AG187" s="411" t="e">
        <f>IF($C$38&gt;1,AG183/(100-AG183)/(AG179/(100-AG179)),AG179/(100-AG179)/(AG183/(100-AG183)))</f>
        <v>#VALUE!</v>
      </c>
      <c r="AH187" s="22"/>
      <c r="AI187" s="22"/>
      <c r="AJ187" s="22"/>
      <c r="AK187" s="22"/>
      <c r="AL187" s="22"/>
    </row>
    <row r="188" spans="1:38" s="433" customFormat="1" ht="35.1" customHeight="1" x14ac:dyDescent="0.2">
      <c r="A188" s="22"/>
      <c r="B188" s="22"/>
      <c r="C188" s="22"/>
      <c r="D188" s="22"/>
      <c r="E188" s="22"/>
      <c r="F188" s="22"/>
      <c r="G188" s="22"/>
      <c r="H188" s="22"/>
      <c r="I188" s="22"/>
      <c r="J188" s="22"/>
      <c r="K188" s="22"/>
      <c r="L188" s="22"/>
      <c r="M188" s="22"/>
      <c r="N188" s="22"/>
      <c r="O188" s="22"/>
      <c r="P188" s="22"/>
      <c r="Q188" s="22"/>
      <c r="R188" s="22"/>
      <c r="S188" s="594"/>
      <c r="T188" s="595"/>
      <c r="U188" s="489"/>
      <c r="V188" s="489"/>
      <c r="W188" s="489"/>
      <c r="X188" s="489"/>
      <c r="Y188" s="489"/>
      <c r="Z188" s="489"/>
      <c r="AA188" s="490"/>
      <c r="AB188" s="580" t="str">
        <f>"Clinical decision as above, but declaring beneficial when odds ratio of benefit/harm is &gt;"&amp;$F$47</f>
        <v>Clinical decision as above, but declaring beneficial when odds ratio of benefit/harm is &gt;-32</v>
      </c>
      <c r="AC188" s="581"/>
      <c r="AD188" s="403" t="e">
        <f>IF(AD187&gt;$F$47,IF($C$38&gt;1,AD184,AD180)&amp;" beneficial",IF($C$38&gt;1,IF(AD183&gt;$F$46,IF(AD179&lt;$F$45,AD184&amp;" beneficial","unclear; get more data"),IF(AD179&gt;25,AD180&amp;" harmful",AD182&amp;" trivial")),IF(AD179&gt;$F$46,IF(AD183&lt;$F$45,AD180&amp;" beneficial","unclear; get more data"),IF(AD183&gt;25,AD184&amp;" harmful",AD182&amp;" trivial"))))</f>
        <v>#VALUE!</v>
      </c>
      <c r="AE188" s="403" t="e">
        <f>IF(AE187&gt;$F$47,IF($C$38&gt;1,AE184,AE180)&amp;" beneficial",IF($C$38&gt;1,IF(AE183&gt;$F$46,IF(AE179&lt;$F$45,AE184&amp;" beneficial","unclear; get more data"),IF(AE179&gt;25,AE180&amp;" harmful",AE182&amp;" trivial")),IF(AE179&gt;$F$46,IF(AE183&lt;$F$45,AE180&amp;" beneficial","unclear; get more data"),IF(AE183&gt;25,AE184&amp;" harmful",AE182&amp;" trivial"))))</f>
        <v>#VALUE!</v>
      </c>
      <c r="AF188" s="403" t="e">
        <f>IF(AF187&gt;$F$47,IF($C$38&gt;1,AF184,AF180)&amp;" beneficial",IF($C$38&gt;1,IF(AF183&gt;$F$46,IF(AF179&lt;$F$45,AF184&amp;" beneficial","unclear; get more data"),IF(AF179&gt;25,AF180&amp;" harmful",AF182&amp;" trivial")),IF(AF179&gt;$F$46,IF(AF183&lt;$F$45,AF180&amp;" beneficial","unclear; get more data"),IF(AF183&gt;25,AF184&amp;" harmful",AF182&amp;" trivial"))))</f>
        <v>#VALUE!</v>
      </c>
      <c r="AG188" s="403" t="e">
        <f>IF(AG187&gt;$F$47,IF($C$38&gt;1,AG184,AG180)&amp;" beneficial",IF($C$38&gt;1,IF(AG183&gt;$F$46,IF(AG179&lt;$F$45,AG184&amp;" beneficial","unclear; get more data"),IF(AG179&gt;25,AG180&amp;" harmful",AG182&amp;" trivial")),IF(AG179&gt;$F$46,IF(AG183&lt;$F$45,AG180&amp;" beneficial","unclear; get more data"),IF(AG183&gt;25,AG184&amp;" harmful",AG182&amp;" trivial"))))</f>
        <v>#VALUE!</v>
      </c>
      <c r="AH188" s="22"/>
      <c r="AI188" s="22"/>
      <c r="AJ188" s="22"/>
      <c r="AK188" s="22"/>
      <c r="AL188" s="22"/>
    </row>
    <row r="189" spans="1:38" s="433" customFormat="1" ht="12" x14ac:dyDescent="0.2">
      <c r="A189" s="22"/>
      <c r="B189" s="22"/>
      <c r="C189" s="22"/>
      <c r="D189" s="22"/>
      <c r="E189" s="22"/>
      <c r="F189" s="22"/>
      <c r="G189" s="22"/>
      <c r="H189" s="22"/>
      <c r="I189" s="22"/>
      <c r="J189" s="22"/>
      <c r="K189" s="22"/>
      <c r="L189" s="22"/>
      <c r="M189" s="22"/>
      <c r="N189" s="22"/>
      <c r="O189" s="22"/>
      <c r="P189" s="22"/>
      <c r="Q189" s="22"/>
      <c r="R189" s="22"/>
      <c r="S189" s="493"/>
      <c r="T189" s="494"/>
      <c r="U189" s="494"/>
      <c r="V189" s="494"/>
      <c r="W189" s="494"/>
      <c r="X189" s="494"/>
      <c r="Y189" s="494"/>
      <c r="Z189" s="494"/>
      <c r="AA189" s="495"/>
      <c r="AB189" s="419"/>
      <c r="AC189" s="201"/>
      <c r="AD189" s="201"/>
      <c r="AE189" s="201"/>
      <c r="AF189" s="420"/>
      <c r="AG189" s="420"/>
      <c r="AH189" s="22"/>
      <c r="AI189" s="22"/>
      <c r="AJ189" s="22"/>
      <c r="AK189" s="22"/>
      <c r="AL189" s="22"/>
    </row>
    <row r="190" spans="1:38" s="433" customFormat="1" ht="12.95" customHeight="1" x14ac:dyDescent="0.2">
      <c r="A190" s="22"/>
      <c r="B190" s="22"/>
      <c r="C190" s="22"/>
      <c r="D190" s="22"/>
      <c r="E190" s="22"/>
      <c r="F190" s="22"/>
      <c r="G190" s="22"/>
      <c r="H190" s="22"/>
      <c r="I190" s="22"/>
      <c r="J190" s="22"/>
      <c r="K190" s="22"/>
      <c r="L190" s="22"/>
      <c r="M190" s="22"/>
      <c r="N190" s="22"/>
      <c r="O190" s="22"/>
      <c r="P190" s="22"/>
      <c r="Q190" s="22"/>
      <c r="R190" s="22"/>
      <c r="S190" s="592" t="s">
        <v>234</v>
      </c>
      <c r="T190" s="593"/>
      <c r="U190" s="516" t="str">
        <f>IF(U118=D118,"",EXP(IF(ISERROR(SQRT(U106^2-U73^2)),-SQRT(U73^2-U106^2),SQRT(U106^2-U73^2))/100))</f>
        <v/>
      </c>
      <c r="V190" s="516">
        <f>EXP(IF(ISERROR(SQRT(V106^2-V73^2)),-SQRT(V73^2-V106^2),SQRT(V106^2-V73^2))/100)</f>
        <v>0.99457051113029937</v>
      </c>
      <c r="W190" s="464"/>
      <c r="X190" s="464"/>
      <c r="Y190" s="464"/>
      <c r="Z190" s="464"/>
      <c r="AA190" s="465"/>
      <c r="AB190" s="438"/>
      <c r="AC190" s="439" t="s">
        <v>218</v>
      </c>
      <c r="AD190" s="426">
        <f t="shared" ref="AD190:AG192" si="149">EXP(AD279/100)</f>
        <v>1.0156941815422282</v>
      </c>
      <c r="AE190" s="427">
        <f t="shared" si="149"/>
        <v>1.0156941815422282</v>
      </c>
      <c r="AF190" s="427">
        <f t="shared" si="149"/>
        <v>1.0131129560699221</v>
      </c>
      <c r="AG190" s="427">
        <f t="shared" si="149"/>
        <v>1.0131129560699221</v>
      </c>
      <c r="AH190" s="22"/>
      <c r="AI190" s="22"/>
      <c r="AJ190" s="22"/>
      <c r="AK190" s="22"/>
      <c r="AL190" s="22"/>
    </row>
    <row r="191" spans="1:38" s="433" customFormat="1" ht="12.95" customHeight="1" x14ac:dyDescent="0.2">
      <c r="A191" s="22"/>
      <c r="B191" s="22"/>
      <c r="C191" s="22"/>
      <c r="D191" s="22"/>
      <c r="E191" s="22"/>
      <c r="F191" s="22"/>
      <c r="G191" s="22"/>
      <c r="H191" s="22"/>
      <c r="I191" s="22"/>
      <c r="J191" s="22"/>
      <c r="K191" s="22"/>
      <c r="L191" s="22"/>
      <c r="M191" s="22"/>
      <c r="N191" s="22"/>
      <c r="O191" s="22"/>
      <c r="P191" s="22"/>
      <c r="Q191" s="22"/>
      <c r="R191" s="22"/>
      <c r="S191" s="609"/>
      <c r="T191" s="497"/>
      <c r="U191" s="510"/>
      <c r="V191" s="510"/>
      <c r="W191" s="510"/>
      <c r="X191" s="510"/>
      <c r="Y191" s="510"/>
      <c r="Z191" s="510"/>
      <c r="AA191" s="511"/>
      <c r="AB191" s="597" t="s">
        <v>242</v>
      </c>
      <c r="AC191" s="178" t="s">
        <v>8</v>
      </c>
      <c r="AD191" s="428">
        <f t="shared" si="149"/>
        <v>1.0156941815422282</v>
      </c>
      <c r="AE191" s="429">
        <f t="shared" si="149"/>
        <v>1.0156941815422282</v>
      </c>
      <c r="AF191" s="429">
        <f t="shared" si="149"/>
        <v>1.0131129560699221</v>
      </c>
      <c r="AG191" s="429">
        <f t="shared" si="149"/>
        <v>1.0131129560699221</v>
      </c>
      <c r="AH191" s="22"/>
      <c r="AI191" s="22"/>
      <c r="AJ191" s="22"/>
      <c r="AK191" s="22"/>
      <c r="AL191" s="22"/>
    </row>
    <row r="192" spans="1:38" s="436" customFormat="1" ht="12" x14ac:dyDescent="0.2">
      <c r="A192" s="22"/>
      <c r="B192" s="22"/>
      <c r="C192" s="22"/>
      <c r="D192" s="22"/>
      <c r="E192" s="22"/>
      <c r="F192" s="22"/>
      <c r="G192" s="22"/>
      <c r="H192" s="22"/>
      <c r="I192" s="22"/>
      <c r="J192" s="22"/>
      <c r="K192" s="22"/>
      <c r="L192" s="22"/>
      <c r="M192" s="22"/>
      <c r="N192" s="22"/>
      <c r="O192" s="22"/>
      <c r="P192" s="22"/>
      <c r="Q192" s="435"/>
      <c r="R192" s="435"/>
      <c r="S192" s="610"/>
      <c r="T192" s="500"/>
      <c r="U192" s="512"/>
      <c r="V192" s="512"/>
      <c r="W192" s="512"/>
      <c r="X192" s="512"/>
      <c r="Y192" s="512"/>
      <c r="Z192" s="512"/>
      <c r="AA192" s="513"/>
      <c r="AB192" s="613"/>
      <c r="AC192" s="401" t="s">
        <v>9</v>
      </c>
      <c r="AD192" s="430">
        <f t="shared" si="149"/>
        <v>1.0156941815422282</v>
      </c>
      <c r="AE192" s="431">
        <f t="shared" si="149"/>
        <v>1.0156941815422282</v>
      </c>
      <c r="AF192" s="431">
        <f t="shared" si="149"/>
        <v>1.0131129560699221</v>
      </c>
      <c r="AG192" s="431">
        <f t="shared" si="149"/>
        <v>1.0131129560699221</v>
      </c>
      <c r="AH192" s="435"/>
      <c r="AI192" s="435"/>
      <c r="AJ192" s="435"/>
      <c r="AK192" s="435"/>
      <c r="AL192" s="435"/>
    </row>
    <row r="193" spans="1:38" x14ac:dyDescent="0.2">
      <c r="A193" s="51"/>
      <c r="B193" s="51"/>
      <c r="C193" s="51"/>
      <c r="D193" s="51"/>
      <c r="E193" s="51"/>
      <c r="F193" s="51"/>
      <c r="G193" s="51"/>
      <c r="H193" s="51"/>
      <c r="I193" s="51"/>
      <c r="J193" s="51"/>
      <c r="K193" s="51"/>
      <c r="L193" s="51"/>
      <c r="M193" s="51"/>
      <c r="N193" s="51"/>
      <c r="O193" s="51"/>
      <c r="P193" s="51"/>
      <c r="Q193" s="19"/>
      <c r="R193" s="19"/>
      <c r="S193" s="51"/>
      <c r="T193" s="51"/>
      <c r="U193" s="51"/>
      <c r="V193" s="51"/>
      <c r="W193" s="51"/>
      <c r="X193" s="51"/>
      <c r="Y193" s="51"/>
      <c r="Z193" s="51"/>
      <c r="AA193" s="51"/>
      <c r="AB193" s="51"/>
      <c r="AC193" s="51"/>
      <c r="AD193" s="51"/>
      <c r="AE193" s="51"/>
      <c r="AF193" s="51"/>
      <c r="AG193" s="51"/>
      <c r="AH193" s="19"/>
      <c r="AI193" s="19"/>
      <c r="AJ193" s="19"/>
      <c r="AK193" s="19"/>
      <c r="AL193" s="19"/>
    </row>
    <row r="194" spans="1:38" s="10" customFormat="1" ht="30" customHeight="1" x14ac:dyDescent="0.2">
      <c r="A194" s="19"/>
      <c r="B194" s="49"/>
      <c r="C194" s="49"/>
      <c r="D194" s="49"/>
      <c r="E194" s="51"/>
      <c r="F194" s="19"/>
      <c r="G194" s="19"/>
      <c r="H194" s="19"/>
      <c r="I194" s="19"/>
      <c r="J194" s="19"/>
      <c r="K194" s="49"/>
      <c r="L194" s="19"/>
      <c r="M194" s="51" t="str">
        <f>CONCATENATE($B$85,"-",$B$52," change")</f>
        <v>Exptal-Control change</v>
      </c>
      <c r="N194" s="19"/>
      <c r="O194" s="19"/>
      <c r="P194" s="19"/>
      <c r="Q194" s="49"/>
      <c r="R194" s="49"/>
      <c r="S194" s="49"/>
      <c r="T194" s="49"/>
      <c r="U194" s="49"/>
      <c r="V194" s="49"/>
      <c r="W194" s="49"/>
      <c r="X194" s="49"/>
      <c r="Y194" s="49"/>
      <c r="Z194" s="49"/>
      <c r="AA194" s="49"/>
      <c r="AB194" s="49"/>
      <c r="AC194" s="19"/>
      <c r="AD194" s="51" t="str">
        <f>CONCATENATE($B$85,"-",$B$52," change")</f>
        <v>Exptal-Control change</v>
      </c>
      <c r="AE194" s="19"/>
      <c r="AF194" s="19"/>
      <c r="AG194" s="19"/>
      <c r="AH194" s="49"/>
      <c r="AI194" s="49"/>
      <c r="AJ194" s="49"/>
      <c r="AK194" s="49"/>
      <c r="AL194" s="49"/>
    </row>
    <row r="195" spans="1:38" ht="16.5" x14ac:dyDescent="0.2">
      <c r="A195" s="19"/>
      <c r="B195" s="51" t="s">
        <v>3</v>
      </c>
      <c r="C195" s="19"/>
      <c r="D195" s="51" t="str">
        <f>CONCATENATE($B$85,"-",$B$52," change")</f>
        <v>Exptal-Control change</v>
      </c>
      <c r="E195" s="19"/>
      <c r="F195" s="19"/>
      <c r="G195" s="19"/>
      <c r="H195" s="19"/>
      <c r="I195" s="19"/>
      <c r="J195" s="19"/>
      <c r="K195" s="51" t="s">
        <v>3</v>
      </c>
      <c r="L195" s="51"/>
      <c r="M195" s="565" t="s">
        <v>100</v>
      </c>
      <c r="N195" s="565"/>
      <c r="O195" s="565" t="s">
        <v>101</v>
      </c>
      <c r="P195" s="565"/>
      <c r="Q195" s="19"/>
      <c r="R195" s="19"/>
      <c r="S195" s="51" t="s">
        <v>4</v>
      </c>
      <c r="T195" s="19"/>
      <c r="U195" s="51" t="str">
        <f>CONCATENATE($B$85,"-",$B$52," change")</f>
        <v>Exptal-Control change</v>
      </c>
      <c r="V195" s="19"/>
      <c r="W195" s="49"/>
      <c r="X195" s="51"/>
      <c r="Y195" s="51"/>
      <c r="Z195" s="51"/>
      <c r="AA195" s="51"/>
      <c r="AB195" s="51" t="s">
        <v>4</v>
      </c>
      <c r="AC195" s="51"/>
      <c r="AD195" s="565" t="s">
        <v>100</v>
      </c>
      <c r="AE195" s="565"/>
      <c r="AF195" s="565" t="s">
        <v>101</v>
      </c>
      <c r="AG195" s="565"/>
      <c r="AH195" s="19"/>
      <c r="AI195" s="48"/>
      <c r="AJ195" s="34"/>
      <c r="AK195" s="34"/>
      <c r="AL195" s="19"/>
    </row>
    <row r="196" spans="1:38" s="14" customFormat="1" ht="41.45" customHeight="1" x14ac:dyDescent="0.2">
      <c r="A196" s="49"/>
      <c r="B196" s="614" t="s">
        <v>237</v>
      </c>
      <c r="C196" s="615"/>
      <c r="D196" s="457" t="str">
        <f>D51</f>
        <v>X1</v>
      </c>
      <c r="E196" s="457" t="str">
        <f>E51</f>
        <v>X2</v>
      </c>
      <c r="F196" s="458"/>
      <c r="G196" s="458"/>
      <c r="H196" s="458"/>
      <c r="I196" s="458"/>
      <c r="J196" s="459"/>
      <c r="K196" s="611" t="s">
        <v>205</v>
      </c>
      <c r="L196" s="612"/>
      <c r="M196" s="184" t="str">
        <f>M50</f>
        <v>Custom effect, not adjusted</v>
      </c>
      <c r="N196" s="184" t="str">
        <f>N50</f>
        <v>Custom effect, not adjusted</v>
      </c>
      <c r="O196" s="184" t="str">
        <f>O50</f>
        <v>Custom effect, adjusted</v>
      </c>
      <c r="P196" s="184" t="str">
        <f>P50</f>
        <v>Custom effect, adjusted</v>
      </c>
      <c r="Q196" s="52"/>
      <c r="R196" s="52"/>
      <c r="S196" s="614" t="s">
        <v>237</v>
      </c>
      <c r="T196" s="615"/>
      <c r="U196" s="457" t="str">
        <f>U51</f>
        <v>X1</v>
      </c>
      <c r="V196" s="457" t="str">
        <f>V51</f>
        <v>X2</v>
      </c>
      <c r="W196" s="458"/>
      <c r="X196" s="458"/>
      <c r="Y196" s="458"/>
      <c r="Z196" s="458"/>
      <c r="AA196" s="459"/>
      <c r="AB196" s="611" t="s">
        <v>205</v>
      </c>
      <c r="AC196" s="612"/>
      <c r="AD196" s="184" t="str">
        <f>AD50</f>
        <v>Custom effect, not adjusted</v>
      </c>
      <c r="AE196" s="184" t="str">
        <f>AE50</f>
        <v>Custom effect, not adjusted</v>
      </c>
      <c r="AF196" s="184" t="str">
        <f>AF50</f>
        <v>Custom effect, adjusted</v>
      </c>
      <c r="AG196" s="184" t="str">
        <f>AG50</f>
        <v>Custom effect, adjusted</v>
      </c>
      <c r="AH196" s="52"/>
      <c r="AI196" s="52"/>
      <c r="AJ196" s="52"/>
      <c r="AK196" s="52"/>
      <c r="AL196" s="52"/>
    </row>
    <row r="197" spans="1:38" s="8" customFormat="1" ht="12.95" customHeight="1" x14ac:dyDescent="0.2">
      <c r="A197" s="37"/>
      <c r="B197" s="460"/>
      <c r="C197" s="461"/>
      <c r="D197" s="458"/>
      <c r="E197" s="458"/>
      <c r="F197" s="458"/>
      <c r="G197" s="458"/>
      <c r="H197" s="458"/>
      <c r="I197" s="458"/>
      <c r="J197" s="459"/>
      <c r="K197" s="151"/>
      <c r="L197" s="176" t="s">
        <v>240</v>
      </c>
      <c r="M197" s="172">
        <f>$F$42</f>
        <v>0</v>
      </c>
      <c r="N197" s="172">
        <f>$F$42</f>
        <v>0</v>
      </c>
      <c r="O197" s="172">
        <f>$F$42</f>
        <v>0</v>
      </c>
      <c r="P197" s="172">
        <f>$F$42</f>
        <v>0</v>
      </c>
      <c r="Q197" s="37"/>
      <c r="R197" s="37"/>
      <c r="S197" s="460"/>
      <c r="T197" s="461"/>
      <c r="U197" s="458"/>
      <c r="V197" s="458"/>
      <c r="W197" s="458"/>
      <c r="X197" s="458"/>
      <c r="Y197" s="458"/>
      <c r="Z197" s="458"/>
      <c r="AA197" s="459"/>
      <c r="AB197" s="151"/>
      <c r="AC197" s="176" t="s">
        <v>240</v>
      </c>
      <c r="AD197" s="172">
        <f>$F$42</f>
        <v>0</v>
      </c>
      <c r="AE197" s="172">
        <f>$F$42</f>
        <v>0</v>
      </c>
      <c r="AF197" s="172">
        <f>$F$42</f>
        <v>0</v>
      </c>
      <c r="AG197" s="172">
        <f>$F$42</f>
        <v>0</v>
      </c>
      <c r="AH197" s="37"/>
      <c r="AI197" s="37"/>
      <c r="AJ197" s="37"/>
      <c r="AK197" s="37"/>
      <c r="AL197" s="37"/>
    </row>
    <row r="198" spans="1:38" s="8" customFormat="1" x14ac:dyDescent="0.2">
      <c r="A198" s="37"/>
      <c r="B198" s="462"/>
      <c r="C198" s="463"/>
      <c r="D198" s="464"/>
      <c r="E198" s="464"/>
      <c r="F198" s="464"/>
      <c r="G198" s="464"/>
      <c r="H198" s="464"/>
      <c r="I198" s="464"/>
      <c r="J198" s="465"/>
      <c r="K198" s="151"/>
      <c r="L198" s="176" t="s">
        <v>62</v>
      </c>
      <c r="M198" s="175">
        <f>M138</f>
        <v>19</v>
      </c>
      <c r="N198" s="404">
        <f>N138</f>
        <v>19</v>
      </c>
      <c r="O198" s="404">
        <f>O138</f>
        <v>17</v>
      </c>
      <c r="P198" s="404">
        <f>P138</f>
        <v>17</v>
      </c>
      <c r="Q198" s="37"/>
      <c r="R198" s="37"/>
      <c r="S198" s="462"/>
      <c r="T198" s="463"/>
      <c r="U198" s="464"/>
      <c r="V198" s="464"/>
      <c r="W198" s="464"/>
      <c r="X198" s="464"/>
      <c r="Y198" s="464"/>
      <c r="Z198" s="464"/>
      <c r="AA198" s="465"/>
      <c r="AB198" s="151"/>
      <c r="AC198" s="176" t="s">
        <v>62</v>
      </c>
      <c r="AD198" s="175">
        <f>AD138</f>
        <v>19</v>
      </c>
      <c r="AE198" s="404">
        <f>AE138</f>
        <v>19</v>
      </c>
      <c r="AF198" s="404">
        <f>AF138</f>
        <v>17</v>
      </c>
      <c r="AG198" s="404">
        <f>AG138</f>
        <v>17</v>
      </c>
      <c r="AH198" s="37"/>
      <c r="AI198" s="37"/>
      <c r="AJ198" s="37"/>
      <c r="AK198" s="37"/>
      <c r="AL198" s="37"/>
    </row>
    <row r="199" spans="1:38" s="8" customFormat="1" ht="12.95" customHeight="1" x14ac:dyDescent="0.2">
      <c r="A199" s="37"/>
      <c r="B199" s="466"/>
      <c r="C199" s="392" t="s">
        <v>239</v>
      </c>
      <c r="D199" s="503">
        <f t="shared" ref="D199:E199" si="150">D147/D215</f>
        <v>-7.3550380882606139E-2</v>
      </c>
      <c r="E199" s="503">
        <f t="shared" si="150"/>
        <v>-0.4399563157101733</v>
      </c>
      <c r="F199" s="468"/>
      <c r="G199" s="468"/>
      <c r="H199" s="468"/>
      <c r="I199" s="468"/>
      <c r="J199" s="469"/>
      <c r="K199" s="151"/>
      <c r="L199" s="176" t="s">
        <v>219</v>
      </c>
      <c r="M199" s="189">
        <f>M147/M215</f>
        <v>1.2968468512171916</v>
      </c>
      <c r="N199" s="189">
        <f>N147/N215</f>
        <v>1.2968468512171916</v>
      </c>
      <c r="O199" s="189">
        <f>O147/O215</f>
        <v>1.2898157689797887</v>
      </c>
      <c r="P199" s="189">
        <f>P147/P215</f>
        <v>1.2898157689797887</v>
      </c>
      <c r="Q199" s="37"/>
      <c r="R199" s="37"/>
      <c r="S199" s="466"/>
      <c r="T199" s="392" t="s">
        <v>231</v>
      </c>
      <c r="U199" s="503">
        <f>(U105-U72)/U215</f>
        <v>-7.3550380882606139E-2</v>
      </c>
      <c r="V199" s="503">
        <f>(V105-V72)/V215</f>
        <v>-0.43857209114668849</v>
      </c>
      <c r="W199" s="464"/>
      <c r="X199" s="464"/>
      <c r="Y199" s="464"/>
      <c r="Z199" s="464"/>
      <c r="AA199" s="465"/>
      <c r="AB199" s="151"/>
      <c r="AC199" s="176" t="s">
        <v>219</v>
      </c>
      <c r="AD199" s="189">
        <f>AD266/AD215</f>
        <v>1.2725629591825416</v>
      </c>
      <c r="AE199" s="189">
        <f>AE266/AE215</f>
        <v>1.2725629591825416</v>
      </c>
      <c r="AF199" s="189">
        <f>AF266/AF215</f>
        <v>1.2580074330649549</v>
      </c>
      <c r="AG199" s="189">
        <f>AG266/AG215</f>
        <v>1.2580074330649549</v>
      </c>
      <c r="AH199" s="37"/>
      <c r="AI199" s="37"/>
      <c r="AJ199" s="37"/>
      <c r="AK199" s="37"/>
      <c r="AL199" s="37"/>
    </row>
    <row r="200" spans="1:38" s="8" customFormat="1" ht="13.15" customHeight="1" x14ac:dyDescent="0.2">
      <c r="A200" s="37"/>
      <c r="B200" s="617"/>
      <c r="C200" s="470"/>
      <c r="D200" s="471"/>
      <c r="E200" s="471"/>
      <c r="F200" s="471"/>
      <c r="G200" s="471"/>
      <c r="H200" s="471"/>
      <c r="I200" s="471"/>
      <c r="J200" s="472"/>
      <c r="K200" s="568" t="s">
        <v>241</v>
      </c>
      <c r="L200" s="405" t="s">
        <v>8</v>
      </c>
      <c r="M200" s="190">
        <f>M148/M215</f>
        <v>1.2968468512171916</v>
      </c>
      <c r="N200" s="190">
        <f>N148/N215</f>
        <v>1.2968468512171916</v>
      </c>
      <c r="O200" s="190">
        <f>O148/O215</f>
        <v>1.2898157689797887</v>
      </c>
      <c r="P200" s="190">
        <f>P148/P215</f>
        <v>1.2898157689797887</v>
      </c>
      <c r="Q200" s="37"/>
      <c r="R200" s="37"/>
      <c r="S200" s="617"/>
      <c r="T200" s="470"/>
      <c r="U200" s="471"/>
      <c r="V200" s="471"/>
      <c r="W200" s="471"/>
      <c r="X200" s="471"/>
      <c r="Y200" s="471"/>
      <c r="Z200" s="471"/>
      <c r="AA200" s="472"/>
      <c r="AB200" s="568" t="s">
        <v>241</v>
      </c>
      <c r="AC200" s="405" t="s">
        <v>8</v>
      </c>
      <c r="AD200" s="190">
        <f>AD267/AD215</f>
        <v>1.2725629591825416</v>
      </c>
      <c r="AE200" s="190">
        <f>AE267/AE215</f>
        <v>1.2725629591825416</v>
      </c>
      <c r="AF200" s="190">
        <f>AF267/AF215</f>
        <v>1.2580074330649549</v>
      </c>
      <c r="AG200" s="190">
        <f>AG267/AG215</f>
        <v>1.2580074330649549</v>
      </c>
      <c r="AH200" s="37"/>
      <c r="AI200" s="37"/>
      <c r="AJ200" s="37"/>
      <c r="AK200" s="37"/>
      <c r="AL200" s="37"/>
    </row>
    <row r="201" spans="1:38" s="8" customFormat="1" x14ac:dyDescent="0.2">
      <c r="A201" s="37"/>
      <c r="B201" s="618"/>
      <c r="C201" s="473"/>
      <c r="D201" s="474"/>
      <c r="E201" s="474"/>
      <c r="F201" s="474"/>
      <c r="G201" s="474"/>
      <c r="H201" s="474"/>
      <c r="I201" s="474"/>
      <c r="J201" s="475"/>
      <c r="K201" s="569"/>
      <c r="L201" s="406" t="s">
        <v>9</v>
      </c>
      <c r="M201" s="191">
        <f>M149/M215</f>
        <v>1.2968468512171916</v>
      </c>
      <c r="N201" s="191">
        <f>N149/N215</f>
        <v>1.2968468512171916</v>
      </c>
      <c r="O201" s="191">
        <f>O149/O215</f>
        <v>1.2898157689797887</v>
      </c>
      <c r="P201" s="191">
        <f>P149/P215</f>
        <v>1.2898157689797887</v>
      </c>
      <c r="Q201" s="37"/>
      <c r="R201" s="37"/>
      <c r="S201" s="618"/>
      <c r="T201" s="473"/>
      <c r="U201" s="474"/>
      <c r="V201" s="474"/>
      <c r="W201" s="474"/>
      <c r="X201" s="474"/>
      <c r="Y201" s="474"/>
      <c r="Z201" s="474"/>
      <c r="AA201" s="475"/>
      <c r="AB201" s="569"/>
      <c r="AC201" s="406" t="s">
        <v>9</v>
      </c>
      <c r="AD201" s="191">
        <f>AD268/AD215</f>
        <v>1.2725629591825416</v>
      </c>
      <c r="AE201" s="191">
        <f>AE268/AE215</f>
        <v>1.2725629591825416</v>
      </c>
      <c r="AF201" s="191">
        <f>AF268/AF215</f>
        <v>1.2580074330649549</v>
      </c>
      <c r="AG201" s="191">
        <f>AG268/AG215</f>
        <v>1.2580074330649549</v>
      </c>
      <c r="AH201" s="37"/>
      <c r="AI201" s="37"/>
      <c r="AJ201" s="37"/>
      <c r="AK201" s="37"/>
      <c r="AL201" s="37"/>
    </row>
    <row r="202" spans="1:38" s="8" customFormat="1" ht="12.95" customHeight="1" x14ac:dyDescent="0.2">
      <c r="A202" s="37"/>
      <c r="B202" s="618"/>
      <c r="C202" s="476"/>
      <c r="D202" s="477"/>
      <c r="E202" s="477"/>
      <c r="F202" s="477"/>
      <c r="G202" s="477"/>
      <c r="H202" s="477"/>
      <c r="I202" s="477"/>
      <c r="J202" s="478"/>
      <c r="K202" s="570"/>
      <c r="L202" s="182" t="s">
        <v>10</v>
      </c>
      <c r="M202" s="192">
        <f>(M201-M200)/2</f>
        <v>0</v>
      </c>
      <c r="N202" s="192">
        <f>(N201-N200)/2</f>
        <v>0</v>
      </c>
      <c r="O202" s="192">
        <f>(O201-O200)/2</f>
        <v>0</v>
      </c>
      <c r="P202" s="192">
        <f>(P201-P200)/2</f>
        <v>0</v>
      </c>
      <c r="Q202" s="37"/>
      <c r="R202" s="37"/>
      <c r="S202" s="618"/>
      <c r="T202" s="476"/>
      <c r="U202" s="477"/>
      <c r="V202" s="477"/>
      <c r="W202" s="477"/>
      <c r="X202" s="477"/>
      <c r="Y202" s="477"/>
      <c r="Z202" s="477"/>
      <c r="AA202" s="478"/>
      <c r="AB202" s="570"/>
      <c r="AC202" s="182" t="s">
        <v>10</v>
      </c>
      <c r="AD202" s="192">
        <f>(AD201-AD200)/2</f>
        <v>0</v>
      </c>
      <c r="AE202" s="192">
        <f>(AE201-AE200)/2</f>
        <v>0</v>
      </c>
      <c r="AF202" s="192">
        <f>(AF201-AF200)/2</f>
        <v>0</v>
      </c>
      <c r="AG202" s="192">
        <f>(AG201-AG200)/2</f>
        <v>0</v>
      </c>
      <c r="AH202" s="37"/>
      <c r="AI202" s="37"/>
      <c r="AJ202" s="37"/>
      <c r="AK202" s="37"/>
      <c r="AL202" s="37"/>
    </row>
    <row r="203" spans="1:38" s="433" customFormat="1" ht="13.15" customHeight="1" x14ac:dyDescent="0.2">
      <c r="A203" s="22"/>
      <c r="B203" s="616"/>
      <c r="C203" s="479"/>
      <c r="D203" s="480"/>
      <c r="E203" s="480"/>
      <c r="F203" s="480"/>
      <c r="G203" s="480"/>
      <c r="H203" s="480"/>
      <c r="I203" s="480"/>
      <c r="J203" s="481"/>
      <c r="K203" s="596" t="s">
        <v>245</v>
      </c>
      <c r="L203" s="407" t="str">
        <f>"+ive or "&amp;IF($C$39&gt;0,"harmful","beneficial")</f>
        <v>+ive or beneficial</v>
      </c>
      <c r="M203" s="408" t="str">
        <f>IF(ISBLANK($C$39),"",MAX($C$39,$D$39))</f>
        <v/>
      </c>
      <c r="N203" s="408" t="str">
        <f>IF(ISBLANK($C$39),"",MAX($C$39,$D$39))</f>
        <v/>
      </c>
      <c r="O203" s="408" t="str">
        <f>IF(ISBLANK($C$39),"",MAX($C$39,$D$39))</f>
        <v/>
      </c>
      <c r="P203" s="408" t="str">
        <f>IF(ISBLANK($C$39),"",MAX($C$39,$D$39))</f>
        <v/>
      </c>
      <c r="Q203" s="22"/>
      <c r="R203" s="22"/>
      <c r="S203" s="616"/>
      <c r="T203" s="479"/>
      <c r="U203" s="480"/>
      <c r="V203" s="480"/>
      <c r="W203" s="480"/>
      <c r="X203" s="480"/>
      <c r="Y203" s="480"/>
      <c r="Z203" s="480"/>
      <c r="AA203" s="481"/>
      <c r="AB203" s="596" t="s">
        <v>245</v>
      </c>
      <c r="AC203" s="407" t="str">
        <f>"+ive or "&amp;IF($C$39&gt;0,"harmful","beneficial")</f>
        <v>+ive or beneficial</v>
      </c>
      <c r="AD203" s="408" t="str">
        <f>IF(ISBLANK($C$39),"",MAX($C$39,$D$39))</f>
        <v/>
      </c>
      <c r="AE203" s="408" t="str">
        <f>IF(ISBLANK($C$39),"",MAX($C$39,$D$39))</f>
        <v/>
      </c>
      <c r="AF203" s="408" t="str">
        <f>IF(ISBLANK($C$39),"",MAX($C$39,$D$39))</f>
        <v/>
      </c>
      <c r="AG203" s="408" t="str">
        <f>IF(ISBLANK($C$39),"",MAX($C$39,$D$39))</f>
        <v/>
      </c>
      <c r="AH203" s="22"/>
      <c r="AI203" s="22"/>
      <c r="AJ203" s="22"/>
      <c r="AK203" s="22"/>
      <c r="AL203" s="22"/>
    </row>
    <row r="204" spans="1:38" s="433" customFormat="1" ht="12.95" customHeight="1" x14ac:dyDescent="0.2">
      <c r="A204" s="22"/>
      <c r="B204" s="616"/>
      <c r="C204" s="482"/>
      <c r="D204" s="480"/>
      <c r="E204" s="480"/>
      <c r="F204" s="480"/>
      <c r="G204" s="480"/>
      <c r="H204" s="480"/>
      <c r="I204" s="480"/>
      <c r="J204" s="481"/>
      <c r="K204" s="613"/>
      <c r="L204" s="409" t="str">
        <f>"-ive or "&amp;IF($C$39&lt;0,"harmful","beneficial")</f>
        <v>-ive or beneficial</v>
      </c>
      <c r="M204" s="408" t="str">
        <f>IF(ISBLANK($C$39),"",MIN($C$39,$D$39))</f>
        <v/>
      </c>
      <c r="N204" s="408" t="str">
        <f>IF(ISBLANK($C$39),"",MIN($C$39,$D$39))</f>
        <v/>
      </c>
      <c r="O204" s="408" t="str">
        <f>IF(ISBLANK($C$39),"",MIN($C$39,$D$39))</f>
        <v/>
      </c>
      <c r="P204" s="408" t="str">
        <f>IF(ISBLANK($C$39),"",MIN($C$39,$D$39))</f>
        <v/>
      </c>
      <c r="Q204" s="22"/>
      <c r="R204" s="22"/>
      <c r="S204" s="616"/>
      <c r="T204" s="482"/>
      <c r="U204" s="480"/>
      <c r="V204" s="480"/>
      <c r="W204" s="480"/>
      <c r="X204" s="480"/>
      <c r="Y204" s="480"/>
      <c r="Z204" s="480"/>
      <c r="AA204" s="481"/>
      <c r="AB204" s="613"/>
      <c r="AC204" s="409" t="str">
        <f>"-ive or "&amp;IF($C$39&lt;0,"harmful","beneficial")</f>
        <v>-ive or beneficial</v>
      </c>
      <c r="AD204" s="408" t="str">
        <f>IF(ISBLANK($C$39),"",MIN($C$39,$D$39))</f>
        <v/>
      </c>
      <c r="AE204" s="408" t="str">
        <f>IF(ISBLANK($C$39),"",MIN($C$39,$D$39))</f>
        <v/>
      </c>
      <c r="AF204" s="408" t="str">
        <f>IF(ISBLANK($C$39),"",MIN($C$39,$D$39))</f>
        <v/>
      </c>
      <c r="AG204" s="408" t="str">
        <f>IF(ISBLANK($C$39),"",MIN($C$39,$D$39))</f>
        <v/>
      </c>
      <c r="AH204" s="22"/>
      <c r="AI204" s="22"/>
      <c r="AJ204" s="22"/>
      <c r="AK204" s="22"/>
      <c r="AL204" s="22"/>
    </row>
    <row r="205" spans="1:38" s="433" customFormat="1" ht="12.95" customHeight="1" x14ac:dyDescent="0.2">
      <c r="A205" s="22"/>
      <c r="B205" s="616"/>
      <c r="C205" s="604"/>
      <c r="D205" s="483"/>
      <c r="E205" s="483"/>
      <c r="F205" s="483"/>
      <c r="G205" s="483"/>
      <c r="H205" s="483"/>
      <c r="I205" s="483"/>
      <c r="J205" s="484"/>
      <c r="K205" s="596" t="s">
        <v>135</v>
      </c>
      <c r="L205" s="600" t="str">
        <f>"substantially positive (+ive) or "&amp;IF($C$39&gt;0,"harmful","beneficial")</f>
        <v>substantially positive (+ive) or beneficial</v>
      </c>
      <c r="M205" s="668" t="e">
        <f>IF(ISERROR(TDIST((M203*M215-M$137)/M$139,M198,1)),1-TDIST((M$137-M203*M215)/M$139,M198,1),TDIST((M203*M215-M$137)/M$139,M198,1))*100</f>
        <v>#VALUE!</v>
      </c>
      <c r="N205" s="668" t="e">
        <f>IF(ISERROR(TDIST((N203*N215-N$137)/N$139,N198,1)),1-TDIST((N$137-N203*N215)/N$139,N198,1),TDIST((N203*N215-N$137)/N$139,N198,1))*100</f>
        <v>#VALUE!</v>
      </c>
      <c r="O205" s="668" t="e">
        <f>IF(ISERROR(TDIST((O203*O215-O$137)/O$139,O198,1)),1-TDIST((O$137-O203*O215)/O$139,O198,1),TDIST((O203*O215-O$137)/O$139,O198,1))*100</f>
        <v>#VALUE!</v>
      </c>
      <c r="P205" s="668" t="e">
        <f>IF(ISERROR(TDIST((P203*P215-P$137)/P$139,P198,1)),1-TDIST((P$137-P203*P215)/P$139,P198,1),TDIST((P203*P215-P$137)/P$139,P198,1))*100</f>
        <v>#VALUE!</v>
      </c>
      <c r="Q205" s="22"/>
      <c r="R205" s="22"/>
      <c r="S205" s="616"/>
      <c r="T205" s="604"/>
      <c r="U205" s="483"/>
      <c r="V205" s="483"/>
      <c r="W205" s="483"/>
      <c r="X205" s="483"/>
      <c r="Y205" s="483"/>
      <c r="Z205" s="483"/>
      <c r="AA205" s="484"/>
      <c r="AB205" s="596" t="s">
        <v>135</v>
      </c>
      <c r="AC205" s="600" t="str">
        <f>"substantially positive (+ive) or "&amp;IF($C$39&gt;0,"harmful","beneficial")</f>
        <v>substantially positive (+ive) or beneficial</v>
      </c>
      <c r="AD205" s="668" t="e">
        <f>IF(ISERROR(TDIST((AD203*AD215-AD$137)/AD$139,AD198,1)),1-TDIST((AD$137-AD203*AD215)/AD$139,AD198,1),TDIST((AD203*AD215-AD$137)/AD$139,AD198,1))*100</f>
        <v>#VALUE!</v>
      </c>
      <c r="AE205" s="668" t="e">
        <f>IF(ISERROR(TDIST((AE203*AE215-AE$137)/AE$139,AE198,1)),1-TDIST((AE$137-AE203*AE215)/AE$139,AE198,1),TDIST((AE203*AE215-AE$137)/AE$139,AE198,1))*100</f>
        <v>#VALUE!</v>
      </c>
      <c r="AF205" s="668" t="e">
        <f>IF(ISERROR(TDIST((AF203*AF215-AF$137)/AF$139,AF198,1)),1-TDIST((AF$137-AF203*AF215)/AF$139,AF198,1),TDIST((AF203*AF215-AF$137)/AF$139,AF198,1))*100</f>
        <v>#VALUE!</v>
      </c>
      <c r="AG205" s="668" t="e">
        <f>IF(ISERROR(TDIST((AG203*AG215-AG$137)/AG$139,AG198,1)),1-TDIST((AG$137-AG203*AG215)/AG$139,AG198,1),TDIST((AG203*AG215-AG$137)/AG$139,AG198,1))*100</f>
        <v>#VALUE!</v>
      </c>
      <c r="AH205" s="22"/>
      <c r="AI205" s="22"/>
      <c r="AJ205" s="22"/>
      <c r="AK205" s="22"/>
      <c r="AL205" s="22"/>
    </row>
    <row r="206" spans="1:38" s="433" customFormat="1" ht="30.95" customHeight="1" x14ac:dyDescent="0.2">
      <c r="A206" s="22"/>
      <c r="B206" s="616"/>
      <c r="C206" s="605"/>
      <c r="D206" s="485"/>
      <c r="E206" s="485"/>
      <c r="F206" s="485"/>
      <c r="G206" s="485"/>
      <c r="H206" s="485"/>
      <c r="I206" s="485"/>
      <c r="J206" s="486"/>
      <c r="K206" s="597"/>
      <c r="L206" s="601"/>
      <c r="M206" s="410" t="e">
        <f>IF(M205&lt;0.5,"most unlikely",IF(M205&lt;5,"very unlikely",IF(M205&lt;25,"unlikely",IF(M205&lt;75,"possibly",IF(M205&lt;95,"likely",IF(M205&lt;99.5,"very likely","most likely"))))))</f>
        <v>#VALUE!</v>
      </c>
      <c r="N206" s="410" t="e">
        <f>IF(N205&lt;0.5,"most unlikely",IF(N205&lt;5,"very unlikely",IF(N205&lt;25,"unlikely",IF(N205&lt;75,"possibly",IF(N205&lt;95,"likely",IF(N205&lt;99.5,"very likely","most likely"))))))</f>
        <v>#VALUE!</v>
      </c>
      <c r="O206" s="410" t="e">
        <f>IF(O205&lt;0.5,"most unlikely",IF(O205&lt;5,"very unlikely",IF(O205&lt;25,"unlikely",IF(O205&lt;75,"possibly",IF(O205&lt;95,"likely",IF(O205&lt;99.5,"very likely","most likely"))))))</f>
        <v>#VALUE!</v>
      </c>
      <c r="P206" s="410" t="e">
        <f>IF(P205&lt;0.5,"most unlikely",IF(P205&lt;5,"very unlikely",IF(P205&lt;25,"unlikely",IF(P205&lt;75,"possibly",IF(P205&lt;95,"likely",IF(P205&lt;99.5,"very likely","most likely"))))))</f>
        <v>#VALUE!</v>
      </c>
      <c r="Q206" s="22"/>
      <c r="R206" s="22"/>
      <c r="S206" s="616"/>
      <c r="T206" s="605"/>
      <c r="U206" s="485"/>
      <c r="V206" s="485"/>
      <c r="W206" s="485"/>
      <c r="X206" s="485"/>
      <c r="Y206" s="485"/>
      <c r="Z206" s="485"/>
      <c r="AA206" s="486"/>
      <c r="AB206" s="597"/>
      <c r="AC206" s="601"/>
      <c r="AD206" s="410" t="e">
        <f>IF(AD205&lt;0.5,"most unlikely",IF(AD205&lt;5,"very unlikely",IF(AD205&lt;25,"unlikely",IF(AD205&lt;75,"possibly",IF(AD205&lt;95,"likely",IF(AD205&lt;99.5,"very likely","most likely"))))))</f>
        <v>#VALUE!</v>
      </c>
      <c r="AE206" s="410" t="e">
        <f>IF(AE205&lt;0.5,"most unlikely",IF(AE205&lt;5,"very unlikely",IF(AE205&lt;25,"unlikely",IF(AE205&lt;75,"possibly",IF(AE205&lt;95,"likely",IF(AE205&lt;99.5,"very likely","most likely"))))))</f>
        <v>#VALUE!</v>
      </c>
      <c r="AF206" s="410" t="e">
        <f>IF(AF205&lt;0.5,"most unlikely",IF(AF205&lt;5,"very unlikely",IF(AF205&lt;25,"unlikely",IF(AF205&lt;75,"possibly",IF(AF205&lt;95,"likely",IF(AF205&lt;99.5,"very likely","most likely"))))))</f>
        <v>#VALUE!</v>
      </c>
      <c r="AG206" s="410" t="e">
        <f>IF(AG205&lt;0.5,"most unlikely",IF(AG205&lt;5,"very unlikely",IF(AG205&lt;25,"unlikely",IF(AG205&lt;75,"possibly",IF(AG205&lt;95,"likely",IF(AG205&lt;99.5,"very likely","most likely"))))))</f>
        <v>#VALUE!</v>
      </c>
      <c r="AH206" s="22"/>
      <c r="AI206" s="22"/>
      <c r="AJ206" s="22"/>
      <c r="AK206" s="22"/>
      <c r="AL206" s="22"/>
    </row>
    <row r="207" spans="1:38" s="433" customFormat="1" ht="12.95" customHeight="1" x14ac:dyDescent="0.2">
      <c r="A207" s="22"/>
      <c r="B207" s="616"/>
      <c r="C207" s="606"/>
      <c r="D207" s="483"/>
      <c r="E207" s="483"/>
      <c r="F207" s="483"/>
      <c r="G207" s="483"/>
      <c r="H207" s="483"/>
      <c r="I207" s="483"/>
      <c r="J207" s="484"/>
      <c r="K207" s="597"/>
      <c r="L207" s="598" t="s">
        <v>11</v>
      </c>
      <c r="M207" s="668" t="e">
        <f>100-M205-M209</f>
        <v>#VALUE!</v>
      </c>
      <c r="N207" s="668" t="e">
        <f>100-N205-N209</f>
        <v>#VALUE!</v>
      </c>
      <c r="O207" s="668" t="e">
        <f>100-O205-O209</f>
        <v>#VALUE!</v>
      </c>
      <c r="P207" s="668" t="e">
        <f>100-P205-P209</f>
        <v>#VALUE!</v>
      </c>
      <c r="Q207" s="22"/>
      <c r="R207" s="22"/>
      <c r="S207" s="616"/>
      <c r="T207" s="606"/>
      <c r="U207" s="483"/>
      <c r="V207" s="483"/>
      <c r="W207" s="483"/>
      <c r="X207" s="483"/>
      <c r="Y207" s="483"/>
      <c r="Z207" s="483"/>
      <c r="AA207" s="484"/>
      <c r="AB207" s="597"/>
      <c r="AC207" s="598" t="s">
        <v>11</v>
      </c>
      <c r="AD207" s="668" t="e">
        <f>100-AD205-AD209</f>
        <v>#VALUE!</v>
      </c>
      <c r="AE207" s="668" t="e">
        <f>100-AE205-AE209</f>
        <v>#VALUE!</v>
      </c>
      <c r="AF207" s="668" t="e">
        <f>100-AF205-AF209</f>
        <v>#VALUE!</v>
      </c>
      <c r="AG207" s="668" t="e">
        <f>100-AG205-AG209</f>
        <v>#VALUE!</v>
      </c>
      <c r="AH207" s="22"/>
      <c r="AI207" s="22"/>
      <c r="AJ207" s="22"/>
      <c r="AK207" s="22"/>
      <c r="AL207" s="22"/>
    </row>
    <row r="208" spans="1:38" s="433" customFormat="1" ht="30.95" customHeight="1" x14ac:dyDescent="0.2">
      <c r="A208" s="22"/>
      <c r="B208" s="616"/>
      <c r="C208" s="606"/>
      <c r="D208" s="485"/>
      <c r="E208" s="485"/>
      <c r="F208" s="485"/>
      <c r="G208" s="485"/>
      <c r="H208" s="485"/>
      <c r="I208" s="485"/>
      <c r="J208" s="486"/>
      <c r="K208" s="597"/>
      <c r="L208" s="599"/>
      <c r="M208" s="410" t="e">
        <f>IF(M207&lt;0.5,"most unlikely",IF(M207&lt;5,"very unlikely",IF(M207&lt;25,"unlikely",IF(M207&lt;75,"possibly",IF(M207&lt;95,"likely",IF(M207&lt;99.5,"very likely","most likely"))))))</f>
        <v>#VALUE!</v>
      </c>
      <c r="N208" s="410" t="e">
        <f>IF(N207&lt;0.5,"most unlikely",IF(N207&lt;5,"very unlikely",IF(N207&lt;25,"unlikely",IF(N207&lt;75,"possibly",IF(N207&lt;95,"likely",IF(N207&lt;99.5,"very likely","most likely"))))))</f>
        <v>#VALUE!</v>
      </c>
      <c r="O208" s="410" t="e">
        <f>IF(O207&lt;0.5,"most unlikely",IF(O207&lt;5,"very unlikely",IF(O207&lt;25,"unlikely",IF(O207&lt;75,"possibly",IF(O207&lt;95,"likely",IF(O207&lt;99.5,"very likely","most likely"))))))</f>
        <v>#VALUE!</v>
      </c>
      <c r="P208" s="410" t="e">
        <f>IF(P207&lt;0.5,"most unlikely",IF(P207&lt;5,"very unlikely",IF(P207&lt;25,"unlikely",IF(P207&lt;75,"possibly",IF(P207&lt;95,"likely",IF(P207&lt;99.5,"very likely","most likely"))))))</f>
        <v>#VALUE!</v>
      </c>
      <c r="Q208" s="22"/>
      <c r="R208" s="22"/>
      <c r="S208" s="616"/>
      <c r="T208" s="606"/>
      <c r="U208" s="485"/>
      <c r="V208" s="485"/>
      <c r="W208" s="485"/>
      <c r="X208" s="485"/>
      <c r="Y208" s="485"/>
      <c r="Z208" s="485"/>
      <c r="AA208" s="486"/>
      <c r="AB208" s="597"/>
      <c r="AC208" s="599"/>
      <c r="AD208" s="410" t="e">
        <f>IF(AD207&lt;0.5,"most unlikely",IF(AD207&lt;5,"very unlikely",IF(AD207&lt;25,"unlikely",IF(AD207&lt;75,"possibly",IF(AD207&lt;95,"likely",IF(AD207&lt;99.5,"very likely","most likely"))))))</f>
        <v>#VALUE!</v>
      </c>
      <c r="AE208" s="410" t="e">
        <f>IF(AE207&lt;0.5,"most unlikely",IF(AE207&lt;5,"very unlikely",IF(AE207&lt;25,"unlikely",IF(AE207&lt;75,"possibly",IF(AE207&lt;95,"likely",IF(AE207&lt;99.5,"very likely","most likely"))))))</f>
        <v>#VALUE!</v>
      </c>
      <c r="AF208" s="410" t="e">
        <f>IF(AF207&lt;0.5,"most unlikely",IF(AF207&lt;5,"very unlikely",IF(AF207&lt;25,"unlikely",IF(AF207&lt;75,"possibly",IF(AF207&lt;95,"likely",IF(AF207&lt;99.5,"very likely","most likely"))))))</f>
        <v>#VALUE!</v>
      </c>
      <c r="AG208" s="410" t="e">
        <f>IF(AG207&lt;0.5,"most unlikely",IF(AG207&lt;5,"very unlikely",IF(AG207&lt;25,"unlikely",IF(AG207&lt;75,"possibly",IF(AG207&lt;95,"likely",IF(AG207&lt;99.5,"very likely","most likely"))))))</f>
        <v>#VALUE!</v>
      </c>
      <c r="AH208" s="22"/>
      <c r="AI208" s="22"/>
      <c r="AJ208" s="22"/>
      <c r="AK208" s="22"/>
      <c r="AL208" s="22"/>
    </row>
    <row r="209" spans="1:38" s="433" customFormat="1" ht="12.95" customHeight="1" x14ac:dyDescent="0.2">
      <c r="A209" s="22"/>
      <c r="B209" s="616"/>
      <c r="C209" s="607"/>
      <c r="D209" s="483"/>
      <c r="E209" s="483"/>
      <c r="F209" s="483"/>
      <c r="G209" s="483"/>
      <c r="H209" s="483"/>
      <c r="I209" s="483"/>
      <c r="J209" s="484"/>
      <c r="K209" s="597"/>
      <c r="L209" s="602" t="str">
        <f>"substantially negative (-ive) or "&amp;IF($C$39&lt;0,"harmful","beneficial")</f>
        <v>substantially negative (-ive) or beneficial</v>
      </c>
      <c r="M209" s="668" t="e">
        <f>IF(ISERROR(TDIST((M204*M215-M$137)/M$139,M198,1)),TDIST((M$137-M204*M215)/M$139,M198,1),1-TDIST((M204*M215-M$137)/M$139,M198,1))*100</f>
        <v>#VALUE!</v>
      </c>
      <c r="N209" s="668" t="e">
        <f>IF(ISERROR(TDIST((N204*N215-N$137)/N$139,N198,1)),TDIST((N$137-N204*N215)/N$139,N198,1),1-TDIST((N204*N215-N$137)/N$139,N198,1))*100</f>
        <v>#VALUE!</v>
      </c>
      <c r="O209" s="668" t="e">
        <f>IF(ISERROR(TDIST((O204*O215-O$137)/O$139,O198,1)),TDIST((O$137-O204*O215)/O$139,O198,1),1-TDIST((O204*O215-O$137)/O$139,O198,1))*100</f>
        <v>#VALUE!</v>
      </c>
      <c r="P209" s="668" t="e">
        <f>IF(ISERROR(TDIST((P204*P215-P$137)/P$139,P198,1)),TDIST((P$137-P204*P215)/P$139,P198,1),1-TDIST((P204*P215-P$137)/P$139,P198,1))*100</f>
        <v>#VALUE!</v>
      </c>
      <c r="Q209" s="22"/>
      <c r="R209" s="22"/>
      <c r="S209" s="616"/>
      <c r="T209" s="607"/>
      <c r="U209" s="483"/>
      <c r="V209" s="483"/>
      <c r="W209" s="483"/>
      <c r="X209" s="483"/>
      <c r="Y209" s="483"/>
      <c r="Z209" s="483"/>
      <c r="AA209" s="484"/>
      <c r="AB209" s="597"/>
      <c r="AC209" s="602" t="str">
        <f>"substantially negative (-ive) or "&amp;IF($C$39&lt;0,"harmful","beneficial")</f>
        <v>substantially negative (-ive) or beneficial</v>
      </c>
      <c r="AD209" s="668" t="e">
        <f>IF(ISERROR(TDIST((AD204*AD215-AD$137)/AD$139,AD198,1)),TDIST((AD$137-AD204*AD215)/AD$139,AD198,1),1-TDIST((AD204*AD215-AD$137)/AD$139,AD198,1))*100</f>
        <v>#VALUE!</v>
      </c>
      <c r="AE209" s="668" t="e">
        <f>IF(ISERROR(TDIST((AE204*AE215-AE$137)/AE$139,AE198,1)),TDIST((AE$137-AE204*AE215)/AE$139,AE198,1),1-TDIST((AE204*AE215-AE$137)/AE$139,AE198,1))*100</f>
        <v>#VALUE!</v>
      </c>
      <c r="AF209" s="668" t="e">
        <f>IF(ISERROR(TDIST((AF204*AF215-AF$137)/AF$139,AF198,1)),TDIST((AF$137-AF204*AF215)/AF$139,AF198,1),1-TDIST((AF204*AF215-AF$137)/AF$139,AF198,1))*100</f>
        <v>#VALUE!</v>
      </c>
      <c r="AG209" s="668" t="e">
        <f>IF(ISERROR(TDIST((AG204*AG215-AG$137)/AG$139,AG198,1)),TDIST((AG$137-AG204*AG215)/AG$139,AG198,1),1-TDIST((AG204*AG215-AG$137)/AG$139,AG198,1))*100</f>
        <v>#VALUE!</v>
      </c>
      <c r="AH209" s="22"/>
      <c r="AI209" s="22"/>
      <c r="AJ209" s="22"/>
      <c r="AK209" s="22"/>
      <c r="AL209" s="22"/>
    </row>
    <row r="210" spans="1:38" s="433" customFormat="1" ht="30.95" customHeight="1" x14ac:dyDescent="0.2">
      <c r="A210" s="22"/>
      <c r="B210" s="616"/>
      <c r="C210" s="608"/>
      <c r="D210" s="485"/>
      <c r="E210" s="485"/>
      <c r="F210" s="485"/>
      <c r="G210" s="485"/>
      <c r="H210" s="485"/>
      <c r="I210" s="485"/>
      <c r="J210" s="486"/>
      <c r="K210" s="597"/>
      <c r="L210" s="603"/>
      <c r="M210" s="410" t="e">
        <f>IF(M209&lt;0.5,"most unlikely",IF(M209&lt;5,"very unlikely",IF(M209&lt;25,"unlikely",IF(M209&lt;75,"possibly",IF(M209&lt;95,"likely",IF(M209&lt;99.5,"very likely","most likely"))))))</f>
        <v>#VALUE!</v>
      </c>
      <c r="N210" s="410" t="e">
        <f>IF(N209&lt;0.5,"most unlikely",IF(N209&lt;5,"very unlikely",IF(N209&lt;25,"unlikely",IF(N209&lt;75,"possibly",IF(N209&lt;95,"likely",IF(N209&lt;99.5,"very likely","most likely"))))))</f>
        <v>#VALUE!</v>
      </c>
      <c r="O210" s="410" t="e">
        <f>IF(O209&lt;0.5,"most unlikely",IF(O209&lt;5,"very unlikely",IF(O209&lt;25,"unlikely",IF(O209&lt;75,"possibly",IF(O209&lt;95,"likely",IF(O209&lt;99.5,"very likely","most likely"))))))</f>
        <v>#VALUE!</v>
      </c>
      <c r="P210" s="410" t="e">
        <f>IF(P209&lt;0.5,"most unlikely",IF(P209&lt;5,"very unlikely",IF(P209&lt;25,"unlikely",IF(P209&lt;75,"possibly",IF(P209&lt;95,"likely",IF(P209&lt;99.5,"very likely","most likely"))))))</f>
        <v>#VALUE!</v>
      </c>
      <c r="Q210" s="22"/>
      <c r="R210" s="22"/>
      <c r="S210" s="616"/>
      <c r="T210" s="608"/>
      <c r="U210" s="485"/>
      <c r="V210" s="485"/>
      <c r="W210" s="485"/>
      <c r="X210" s="485"/>
      <c r="Y210" s="485"/>
      <c r="Z210" s="485"/>
      <c r="AA210" s="486"/>
      <c r="AB210" s="597"/>
      <c r="AC210" s="603"/>
      <c r="AD210" s="410" t="e">
        <f>IF(AD209&lt;0.5,"most unlikely",IF(AD209&lt;5,"very unlikely",IF(AD209&lt;25,"unlikely",IF(AD209&lt;75,"possibly",IF(AD209&lt;95,"likely",IF(AD209&lt;99.5,"very likely","most likely"))))))</f>
        <v>#VALUE!</v>
      </c>
      <c r="AE210" s="410" t="e">
        <f>IF(AE209&lt;0.5,"most unlikely",IF(AE209&lt;5,"very unlikely",IF(AE209&lt;25,"unlikely",IF(AE209&lt;75,"possibly",IF(AE209&lt;95,"likely",IF(AE209&lt;99.5,"very likely","most likely"))))))</f>
        <v>#VALUE!</v>
      </c>
      <c r="AF210" s="410" t="e">
        <f>IF(AF209&lt;0.5,"most unlikely",IF(AF209&lt;5,"very unlikely",IF(AF209&lt;25,"unlikely",IF(AF209&lt;75,"possibly",IF(AF209&lt;95,"likely",IF(AF209&lt;99.5,"very likely","most likely"))))))</f>
        <v>#VALUE!</v>
      </c>
      <c r="AG210" s="410" t="e">
        <f>IF(AG209&lt;0.5,"most unlikely",IF(AG209&lt;5,"very unlikely",IF(AG209&lt;25,"unlikely",IF(AG209&lt;75,"possibly",IF(AG209&lt;95,"likely",IF(AG209&lt;99.5,"very likely","most likely"))))))</f>
        <v>#VALUE!</v>
      </c>
      <c r="AH210" s="22"/>
      <c r="AI210" s="22"/>
      <c r="AJ210" s="22"/>
      <c r="AK210" s="22"/>
      <c r="AL210" s="22"/>
    </row>
    <row r="211" spans="1:38" s="433" customFormat="1" ht="35.1" customHeight="1" x14ac:dyDescent="0.2">
      <c r="A211" s="22"/>
      <c r="B211" s="594"/>
      <c r="C211" s="595"/>
      <c r="D211" s="487"/>
      <c r="E211" s="487"/>
      <c r="F211" s="487"/>
      <c r="G211" s="487"/>
      <c r="H211" s="487"/>
      <c r="I211" s="487"/>
      <c r="J211" s="488"/>
      <c r="K211" s="580" t="str">
        <f>"Non-clinical  decision, based on threshold chances of "&amp;$F$44&amp;"% for substantial magnitudes"</f>
        <v>Non-clinical  decision, based on threshold chances of 50% for substantial magnitudes</v>
      </c>
      <c r="L211" s="581"/>
      <c r="M211" s="403" t="e">
        <f>IF(MIN(M205,M209)&gt;$F$44,"unclear; get more data",IF(M205&gt;25,M206&amp;" +ive",IF(M209&gt;25,M210&amp;" –ive",M208&amp;" trivial")))</f>
        <v>#VALUE!</v>
      </c>
      <c r="N211" s="403" t="e">
        <f t="shared" ref="N211:P211" si="151">IF(MIN(N205,N209)&gt;$F$44,"unclear; get more data",IF(N205&gt;25,N206&amp;" +ive",IF(N209&gt;25,N210&amp;" –ive",N208&amp;" trivial")))</f>
        <v>#VALUE!</v>
      </c>
      <c r="O211" s="403" t="e">
        <f t="shared" si="151"/>
        <v>#VALUE!</v>
      </c>
      <c r="P211" s="403" t="e">
        <f t="shared" si="151"/>
        <v>#VALUE!</v>
      </c>
      <c r="Q211" s="22"/>
      <c r="R211" s="22"/>
      <c r="S211" s="594"/>
      <c r="T211" s="595"/>
      <c r="U211" s="489"/>
      <c r="V211" s="487"/>
      <c r="W211" s="487"/>
      <c r="X211" s="487"/>
      <c r="Y211" s="487"/>
      <c r="Z211" s="487"/>
      <c r="AA211" s="488"/>
      <c r="AB211" s="580" t="str">
        <f>"Non-clinical  decision, based on threshold chances of "&amp;$F$44&amp;"% for substantial magnitudes"</f>
        <v>Non-clinical  decision, based on threshold chances of 50% for substantial magnitudes</v>
      </c>
      <c r="AC211" s="581"/>
      <c r="AD211" s="403" t="e">
        <f>IF(MIN(AD205,AD209)&gt;$F$44,"unclear; get more data",IF(AD205&gt;25,AD206&amp;" +ive",IF(AD209&gt;25,AD210&amp;" –ive",AD208&amp;" trivial")))</f>
        <v>#VALUE!</v>
      </c>
      <c r="AE211" s="403" t="e">
        <f t="shared" ref="AE211" si="152">IF(MIN(AE205,AE209)&gt;$F$44,"unclear; get more data",IF(AE205&gt;25,AE206&amp;" +ive",IF(AE209&gt;25,AE210&amp;" –ive",AE208&amp;" trivial")))</f>
        <v>#VALUE!</v>
      </c>
      <c r="AF211" s="403" t="e">
        <f t="shared" ref="AF211" si="153">IF(MIN(AF205,AF209)&gt;$F$44,"unclear; get more data",IF(AF205&gt;25,AF206&amp;" +ive",IF(AF209&gt;25,AF210&amp;" –ive",AF208&amp;" trivial")))</f>
        <v>#VALUE!</v>
      </c>
      <c r="AG211" s="403" t="e">
        <f t="shared" ref="AG211" si="154">IF(MIN(AG205,AG209)&gt;$F$44,"unclear; get more data",IF(AG205&gt;25,AG206&amp;" +ive",IF(AG209&gt;25,AG210&amp;" –ive",AG208&amp;" trivial")))</f>
        <v>#VALUE!</v>
      </c>
      <c r="AH211" s="22"/>
      <c r="AI211" s="22"/>
      <c r="AJ211" s="22"/>
      <c r="AK211" s="22"/>
      <c r="AL211" s="22"/>
    </row>
    <row r="212" spans="1:38" s="433" customFormat="1" ht="35.1" customHeight="1" x14ac:dyDescent="0.2">
      <c r="A212" s="22"/>
      <c r="B212" s="594"/>
      <c r="C212" s="595"/>
      <c r="D212" s="489"/>
      <c r="E212" s="489"/>
      <c r="F212" s="489"/>
      <c r="G212" s="489"/>
      <c r="H212" s="489"/>
      <c r="I212" s="489"/>
      <c r="J212" s="490"/>
      <c r="K212" s="580" t="str">
        <f>"Clinical decision, based on threshold chances of harm and benefit of "&amp;$F$45&amp;"% and "&amp;$F$46&amp;"%"</f>
        <v>Clinical decision, based on threshold chances of harm and benefit of 5% and 250%</v>
      </c>
      <c r="L212" s="581"/>
      <c r="M212" s="403" t="e">
        <f>IF($C$39&gt;0,IF(M209&gt;$F$46,IF(M205&lt;$F$45,M210&amp;" beneficial","unclear; get more data"),IF(M205&gt;25,M206&amp;" harmful",M208&amp;" trivial")),IF(M205&gt;$F$46,IF(M209&lt;$F$45,M206&amp;" beneficial","unclear; get more data"),IF(M209&gt;25,M210&amp;" harmful",M208&amp;" trivial")))</f>
        <v>#VALUE!</v>
      </c>
      <c r="N212" s="403" t="e">
        <f>IF($C$39&gt;0,IF(N209&gt;$F$46,IF(N205&lt;$F$45,N210&amp;" beneficial","unclear; get more data"),IF(N205&gt;25,N206&amp;" harmful",N208&amp;" trivial")),IF(N205&gt;$F$46,IF(N209&lt;$F$45,N206&amp;" beneficial","unclear; get more data"),IF(N209&gt;25,N210&amp;" harmful",N208&amp;" trivial")))</f>
        <v>#VALUE!</v>
      </c>
      <c r="O212" s="403" t="e">
        <f>IF($C$39&gt;0,IF(O209&gt;$F$46,IF(O205&lt;$F$45,O210&amp;" beneficial","unclear; get more data"),IF(O205&gt;25,O206&amp;" harmful",O208&amp;" trivial")),IF(O205&gt;$F$46,IF(O209&lt;$F$45,O206&amp;" beneficial","unclear; get more data"),IF(O209&gt;25,O210&amp;" harmful",O208&amp;" trivial")))</f>
        <v>#VALUE!</v>
      </c>
      <c r="P212" s="403" t="e">
        <f>IF($C$39&gt;0,IF(P209&gt;$F$46,IF(P205&lt;$F$45,P210&amp;" beneficial","unclear; get more data"),IF(P205&gt;25,P206&amp;" harmful",P208&amp;" trivial")),IF(P205&gt;$F$46,IF(P209&lt;$F$45,P206&amp;" beneficial","unclear; get more data"),IF(P209&gt;25,P210&amp;" harmful",P208&amp;" trivial")))</f>
        <v>#VALUE!</v>
      </c>
      <c r="Q212" s="22"/>
      <c r="R212" s="22"/>
      <c r="S212" s="594"/>
      <c r="T212" s="595"/>
      <c r="U212" s="489"/>
      <c r="V212" s="489"/>
      <c r="W212" s="489"/>
      <c r="X212" s="489"/>
      <c r="Y212" s="489"/>
      <c r="Z212" s="489"/>
      <c r="AA212" s="490"/>
      <c r="AB212" s="580" t="str">
        <f>"Clinical decision, based on threshold chances of harm and benefit of "&amp;$F$45&amp;"% and "&amp;$F$46&amp;"%"</f>
        <v>Clinical decision, based on threshold chances of harm and benefit of 5% and 250%</v>
      </c>
      <c r="AC212" s="581"/>
      <c r="AD212" s="403" t="e">
        <f>IF($C$39&gt;0,IF(AD209&gt;$F$46,IF(AD205&lt;$F$45,AD210&amp;" beneficial","unclear; get more data"),IF(AD205&gt;25,AD206&amp;" harmful",AD208&amp;" trivial")),IF(AD205&gt;$F$46,IF(AD209&lt;$F$45,AD206&amp;" beneficial","unclear; get more data"),IF(AD209&gt;25,AD210&amp;" harmful",AD208&amp;" trivial")))</f>
        <v>#VALUE!</v>
      </c>
      <c r="AE212" s="403" t="e">
        <f>IF($C$39&gt;0,IF(AE209&gt;$F$46,IF(AE205&lt;$F$45,AE210&amp;" beneficial","unclear; get more data"),IF(AE205&gt;25,AE206&amp;" harmful",AE208&amp;" trivial")),IF(AE205&gt;$F$46,IF(AE209&lt;$F$45,AE206&amp;" beneficial","unclear; get more data"),IF(AE209&gt;25,AE210&amp;" harmful",AE208&amp;" trivial")))</f>
        <v>#VALUE!</v>
      </c>
      <c r="AF212" s="403" t="e">
        <f>IF($C$39&gt;0,IF(AF209&gt;$F$46,IF(AF205&lt;$F$45,AF210&amp;" beneficial","unclear; get more data"),IF(AF205&gt;25,AF206&amp;" harmful",AF208&amp;" trivial")),IF(AF205&gt;$F$46,IF(AF209&lt;$F$45,AF206&amp;" beneficial","unclear; get more data"),IF(AF209&gt;25,AF210&amp;" harmful",AF208&amp;" trivial")))</f>
        <v>#VALUE!</v>
      </c>
      <c r="AG212" s="403" t="e">
        <f>IF($C$39&gt;0,IF(AG209&gt;$F$46,IF(AG205&lt;$F$45,AG210&amp;" beneficial","unclear; get more data"),IF(AG205&gt;25,AG206&amp;" harmful",AG208&amp;" trivial")),IF(AG205&gt;$F$46,IF(AG209&lt;$F$45,AG206&amp;" beneficial","unclear; get more data"),IF(AG209&gt;25,AG210&amp;" harmful",AG208&amp;" trivial")))</f>
        <v>#VALUE!</v>
      </c>
      <c r="AH212" s="22"/>
      <c r="AI212" s="22"/>
      <c r="AJ212" s="22"/>
      <c r="AK212" s="22"/>
      <c r="AL212" s="22"/>
    </row>
    <row r="213" spans="1:38" s="433" customFormat="1" ht="12.95" customHeight="1" x14ac:dyDescent="0.2">
      <c r="A213" s="22"/>
      <c r="B213" s="594"/>
      <c r="C213" s="595"/>
      <c r="D213" s="491"/>
      <c r="E213" s="491"/>
      <c r="F213" s="491"/>
      <c r="G213" s="491"/>
      <c r="H213" s="491"/>
      <c r="I213" s="491"/>
      <c r="J213" s="492"/>
      <c r="K213" s="580" t="s">
        <v>82</v>
      </c>
      <c r="L213" s="581"/>
      <c r="M213" s="411" t="e">
        <f>IF($C$39&gt;0,M209/(100-M209)/(M205/(100-M205)),M205/(100-M205)/(M209/(100-M209)))</f>
        <v>#VALUE!</v>
      </c>
      <c r="N213" s="411" t="e">
        <f>IF($C$39&gt;0,N209/(100-N209)/(N205/(100-N205)),N205/(100-N205)/(N209/(100-N209)))</f>
        <v>#VALUE!</v>
      </c>
      <c r="O213" s="411" t="e">
        <f>IF($C$39&gt;0,O209/(100-O209)/(O205/(100-O205)),O205/(100-O205)/(O209/(100-O209)))</f>
        <v>#VALUE!</v>
      </c>
      <c r="P213" s="411" t="e">
        <f>IF($C$39&gt;0,P209/(100-P209)/(P205/(100-P205)),P205/(100-P205)/(P209/(100-P209)))</f>
        <v>#VALUE!</v>
      </c>
      <c r="Q213" s="22"/>
      <c r="R213" s="22"/>
      <c r="S213" s="594"/>
      <c r="T213" s="595"/>
      <c r="U213" s="491"/>
      <c r="V213" s="491"/>
      <c r="W213" s="491"/>
      <c r="X213" s="491"/>
      <c r="Y213" s="491"/>
      <c r="Z213" s="491"/>
      <c r="AA213" s="492"/>
      <c r="AB213" s="580" t="s">
        <v>82</v>
      </c>
      <c r="AC213" s="581"/>
      <c r="AD213" s="411" t="e">
        <f>IF($C$39&gt;0,AD209/(100-AD209)/(AD205/(100-AD205)),AD205/(100-AD205)/(AD209/(100-AD209)))</f>
        <v>#VALUE!</v>
      </c>
      <c r="AE213" s="411" t="e">
        <f>IF($C$39&gt;0,AE209/(100-AE209)/(AE205/(100-AE205)),AE205/(100-AE205)/(AE209/(100-AE209)))</f>
        <v>#VALUE!</v>
      </c>
      <c r="AF213" s="411" t="e">
        <f>IF($C$39&gt;0,AF209/(100-AF209)/(AF205/(100-AF205)),AF205/(100-AF205)/(AF209/(100-AF209)))</f>
        <v>#VALUE!</v>
      </c>
      <c r="AG213" s="411" t="e">
        <f>IF($C$39&gt;0,AG209/(100-AG209)/(AG205/(100-AG205)),AG205/(100-AG205)/(AG209/(100-AG209)))</f>
        <v>#VALUE!</v>
      </c>
      <c r="AH213" s="22"/>
      <c r="AI213" s="22"/>
      <c r="AJ213" s="22"/>
      <c r="AK213" s="22"/>
      <c r="AL213" s="22"/>
    </row>
    <row r="214" spans="1:38" s="433" customFormat="1" ht="35.1" customHeight="1" x14ac:dyDescent="0.2">
      <c r="A214" s="22"/>
      <c r="B214" s="632"/>
      <c r="C214" s="633"/>
      <c r="D214" s="468"/>
      <c r="E214" s="468"/>
      <c r="F214" s="468"/>
      <c r="G214" s="468"/>
      <c r="H214" s="468"/>
      <c r="I214" s="468"/>
      <c r="J214" s="469"/>
      <c r="K214" s="580" t="str">
        <f>"Clinical decision as above, but declaring beneficial when odds ratio of benefit/harm is &gt;"&amp;$F$47</f>
        <v>Clinical decision as above, but declaring beneficial when odds ratio of benefit/harm is &gt;-32</v>
      </c>
      <c r="L214" s="581"/>
      <c r="M214" s="403" t="e">
        <f>IF(M213&gt;$F$47,IF($C$39&gt;0,M210,M206)&amp;" beneficial",IF($C$39&gt;0,IF(M209&gt;$F$46,IF(M205&lt;$F$45,M210&amp;" beneficial","unclear; get more data"),IF(M205&gt;25,M206&amp;" harmful",M208&amp;" trivial")),IF(M205&gt;$F$46,IF(M209&lt;$F$45,M206&amp;" beneficial","unclear; get more data"),IF(M209&gt;25,M210&amp;" harmful",M208&amp;" trivial"))))</f>
        <v>#VALUE!</v>
      </c>
      <c r="N214" s="403" t="e">
        <f>IF(N213&gt;$F$47,IF($C$39&gt;0,N210,N206)&amp;" beneficial",IF($C$39&gt;0,IF(N209&gt;$F$46,IF(N205&lt;$F$45,N210&amp;" beneficial","unclear; get more data"),IF(N205&gt;25,N206&amp;" harmful",N208&amp;" trivial")),IF(N205&gt;$F$46,IF(N209&lt;$F$45,N206&amp;" beneficial","unclear; get more data"),IF(N209&gt;25,N210&amp;" harmful",N208&amp;" trivial"))))</f>
        <v>#VALUE!</v>
      </c>
      <c r="O214" s="403" t="e">
        <f>IF(O213&gt;$F$47,IF($C$39&gt;0,O210,O206)&amp;" beneficial",IF($C$39&gt;0,IF(O209&gt;$F$46,IF(O205&lt;$F$45,O210&amp;" beneficial","unclear; get more data"),IF(O205&gt;25,O206&amp;" harmful",O208&amp;" trivial")),IF(O205&gt;$F$46,IF(O209&lt;$F$45,O206&amp;" beneficial","unclear; get more data"),IF(O209&gt;25,O210&amp;" harmful",O208&amp;" trivial"))))</f>
        <v>#VALUE!</v>
      </c>
      <c r="P214" s="403" t="e">
        <f>IF(P213&gt;$F$47,IF($C$39&gt;0,P210,P206)&amp;" beneficial",IF($C$39&gt;0,IF(P209&gt;$F$46,IF(P205&lt;$F$45,P210&amp;" beneficial","unclear; get more data"),IF(P205&gt;25,P206&amp;" harmful",P208&amp;" trivial")),IF(P205&gt;$F$46,IF(P209&lt;$F$45,P206&amp;" beneficial","unclear; get more data"),IF(P209&gt;25,P210&amp;" harmful",P208&amp;" trivial"))))</f>
        <v>#VALUE!</v>
      </c>
      <c r="Q214" s="22"/>
      <c r="R214" s="22"/>
      <c r="S214" s="632"/>
      <c r="T214" s="633"/>
      <c r="U214" s="468"/>
      <c r="V214" s="468"/>
      <c r="W214" s="468"/>
      <c r="X214" s="468"/>
      <c r="Y214" s="468"/>
      <c r="Z214" s="468"/>
      <c r="AA214" s="469"/>
      <c r="AB214" s="580" t="str">
        <f>"Clinical decision as above, but declaring beneficial when odds ratio of benefit/harm is &gt;"&amp;$F$47</f>
        <v>Clinical decision as above, but declaring beneficial when odds ratio of benefit/harm is &gt;-32</v>
      </c>
      <c r="AC214" s="581"/>
      <c r="AD214" s="403" t="e">
        <f>IF(AD213&gt;$F$47,IF($C$39&gt;0,AD210,AD206)&amp;" beneficial",IF($C$39&gt;0,IF(AD209&gt;$F$46,IF(AD205&lt;$F$45,AD210&amp;" beneficial","unclear; get more data"),IF(AD205&gt;25,AD206&amp;" harmful",AD208&amp;" trivial")),IF(AD205&gt;$F$46,IF(AD209&lt;$F$45,AD206&amp;" beneficial","unclear; get more data"),IF(AD209&gt;25,AD210&amp;" harmful",AD208&amp;" trivial"))))</f>
        <v>#VALUE!</v>
      </c>
      <c r="AE214" s="403" t="e">
        <f>IF(AE213&gt;$F$47,IF($C$39&gt;0,AE210,AE206)&amp;" beneficial",IF($C$39&gt;0,IF(AE209&gt;$F$46,IF(AE205&lt;$F$45,AE210&amp;" beneficial","unclear; get more data"),IF(AE205&gt;25,AE206&amp;" harmful",AE208&amp;" trivial")),IF(AE205&gt;$F$46,IF(AE209&lt;$F$45,AE206&amp;" beneficial","unclear; get more data"),IF(AE209&gt;25,AE210&amp;" harmful",AE208&amp;" trivial"))))</f>
        <v>#VALUE!</v>
      </c>
      <c r="AF214" s="403" t="e">
        <f>IF(AF213&gt;$F$47,IF($C$39&gt;0,AF210,AF206)&amp;" beneficial",IF($C$39&gt;0,IF(AF209&gt;$F$46,IF(AF205&lt;$F$45,AF210&amp;" beneficial","unclear; get more data"),IF(AF205&gt;25,AF206&amp;" harmful",AF208&amp;" trivial")),IF(AF205&gt;$F$46,IF(AF209&lt;$F$45,AF206&amp;" beneficial","unclear; get more data"),IF(AF209&gt;25,AF210&amp;" harmful",AF208&amp;" trivial"))))</f>
        <v>#VALUE!</v>
      </c>
      <c r="AG214" s="403" t="e">
        <f>IF(AG213&gt;$F$47,IF($C$39&gt;0,AG210,AG206)&amp;" beneficial",IF($C$39&gt;0,IF(AG209&gt;$F$46,IF(AG205&lt;$F$45,AG210&amp;" beneficial","unclear; get more data"),IF(AG205&gt;25,AG206&amp;" harmful",AG208&amp;" trivial")),IF(AG205&gt;$F$46,IF(AG209&lt;$F$45,AG206&amp;" beneficial","unclear; get more data"),IF(AG209&gt;25,AG210&amp;" harmful",AG208&amp;" trivial"))))</f>
        <v>#VALUE!</v>
      </c>
      <c r="AH214" s="22"/>
      <c r="AI214" s="22"/>
      <c r="AJ214" s="22"/>
      <c r="AK214" s="22"/>
      <c r="AL214" s="22"/>
    </row>
    <row r="215" spans="1:38" s="433" customFormat="1" ht="12.95" customHeight="1" x14ac:dyDescent="0.2">
      <c r="A215" s="22"/>
      <c r="B215" s="493"/>
      <c r="C215" s="504" t="s">
        <v>143</v>
      </c>
      <c r="D215" s="505">
        <f>D119/(1-3/(4*D120-1))</f>
        <v>2.4473020783848551</v>
      </c>
      <c r="E215" s="505">
        <f>E119/(1-3/(4*E120-1))</f>
        <v>5.0914145791596059</v>
      </c>
      <c r="F215" s="468"/>
      <c r="G215" s="468"/>
      <c r="H215" s="468"/>
      <c r="I215" s="468"/>
      <c r="J215" s="469"/>
      <c r="K215" s="4"/>
      <c r="L215" s="3" t="s">
        <v>144</v>
      </c>
      <c r="M215" s="5">
        <f>F133</f>
        <v>6.5158040766872549</v>
      </c>
      <c r="N215" s="5">
        <f>$M$215</f>
        <v>6.5158040766872549</v>
      </c>
      <c r="O215" s="5">
        <f>$M$215</f>
        <v>6.5158040766872549</v>
      </c>
      <c r="P215" s="5">
        <f>$M$215</f>
        <v>6.5158040766872549</v>
      </c>
      <c r="Q215" s="22"/>
      <c r="R215" s="22"/>
      <c r="S215" s="493"/>
      <c r="T215" s="504" t="s">
        <v>143</v>
      </c>
      <c r="U215" s="505">
        <f>U119/(1-3/(4*U120-1))</f>
        <v>2.4473020783848551</v>
      </c>
      <c r="V215" s="505">
        <f>V119/(1-3/(4*V120-1))</f>
        <v>1.2697873288307771</v>
      </c>
      <c r="W215" s="468"/>
      <c r="X215" s="468"/>
      <c r="Y215" s="468"/>
      <c r="Z215" s="468"/>
      <c r="AA215" s="469"/>
      <c r="AB215" s="4"/>
      <c r="AC215" s="3" t="s">
        <v>144</v>
      </c>
      <c r="AD215" s="5">
        <f>W133</f>
        <v>1.6238680965328578</v>
      </c>
      <c r="AE215" s="5">
        <f>$AD$215</f>
        <v>1.6238680965328578</v>
      </c>
      <c r="AF215" s="5">
        <f>$AD$215</f>
        <v>1.6238680965328578</v>
      </c>
      <c r="AG215" s="5">
        <f>$AD$215</f>
        <v>1.6238680965328578</v>
      </c>
      <c r="AH215" s="22"/>
      <c r="AI215" s="22"/>
      <c r="AJ215" s="22"/>
      <c r="AK215" s="22"/>
      <c r="AL215" s="22"/>
    </row>
    <row r="216" spans="1:38" s="433" customFormat="1" ht="12.95" customHeight="1" x14ac:dyDescent="0.2">
      <c r="A216" s="22"/>
      <c r="B216" s="506"/>
      <c r="C216" s="507" t="s">
        <v>235</v>
      </c>
      <c r="D216" s="508">
        <f t="shared" ref="D216:E216" si="155">D164/D215</f>
        <v>-0.50240977381794882</v>
      </c>
      <c r="E216" s="509">
        <f t="shared" si="155"/>
        <v>-0.44429962537491285</v>
      </c>
      <c r="F216" s="468"/>
      <c r="G216" s="468"/>
      <c r="H216" s="468"/>
      <c r="I216" s="468"/>
      <c r="J216" s="469"/>
      <c r="K216" s="438"/>
      <c r="L216" s="439" t="s">
        <v>217</v>
      </c>
      <c r="M216" s="426">
        <f>M164/M215</f>
        <v>1.0054531512240457</v>
      </c>
      <c r="N216" s="426">
        <f>N164/N215</f>
        <v>1.0054531512240457</v>
      </c>
      <c r="O216" s="426">
        <f>O164/O215</f>
        <v>0.84049212207420543</v>
      </c>
      <c r="P216" s="426">
        <f>P164/P215</f>
        <v>0.84049212207420543</v>
      </c>
      <c r="Q216" s="22"/>
      <c r="R216" s="22"/>
      <c r="S216" s="506"/>
      <c r="T216" s="507" t="s">
        <v>235</v>
      </c>
      <c r="U216" s="508">
        <f>IF(ISERROR(SQRT(U106^2-U73^2)),-SQRT(U73^2-U106^2),SQRT(U106^2-U73^2))/U215</f>
        <v>-0.50240977381794882</v>
      </c>
      <c r="V216" s="509">
        <f t="shared" ref="V216" si="156">V164/V215</f>
        <v>-0.42759041190780728</v>
      </c>
      <c r="W216" s="468"/>
      <c r="X216" s="468"/>
      <c r="Y216" s="468"/>
      <c r="Z216" s="468"/>
      <c r="AA216" s="469"/>
      <c r="AB216" s="438"/>
      <c r="AC216" s="439" t="s">
        <v>217</v>
      </c>
      <c r="AD216" s="426">
        <f>AD279/AD215</f>
        <v>0.95896344414619428</v>
      </c>
      <c r="AE216" s="426">
        <f>AE279/AE215</f>
        <v>0.95896344414619428</v>
      </c>
      <c r="AF216" s="426">
        <f>AF279/AF215</f>
        <v>0.8022650093061785</v>
      </c>
      <c r="AG216" s="426">
        <f>AG279/AG215</f>
        <v>0.8022650093061785</v>
      </c>
      <c r="AH216" s="22"/>
      <c r="AI216" s="22"/>
      <c r="AJ216" s="22"/>
      <c r="AK216" s="22"/>
      <c r="AL216" s="22"/>
    </row>
    <row r="217" spans="1:38" s="433" customFormat="1" ht="13.15" customHeight="1" x14ac:dyDescent="0.2">
      <c r="A217" s="22"/>
      <c r="B217" s="609"/>
      <c r="C217" s="497"/>
      <c r="D217" s="510"/>
      <c r="E217" s="510"/>
      <c r="F217" s="510"/>
      <c r="G217" s="510"/>
      <c r="H217" s="510"/>
      <c r="I217" s="510"/>
      <c r="J217" s="511"/>
      <c r="K217" s="597" t="s">
        <v>242</v>
      </c>
      <c r="L217" s="178" t="s">
        <v>8</v>
      </c>
      <c r="M217" s="428">
        <f>M165/M215</f>
        <v>1.0054531512240457</v>
      </c>
      <c r="N217" s="428">
        <f>N165/N215</f>
        <v>1.0054531512240457</v>
      </c>
      <c r="O217" s="428">
        <f>O165/O215</f>
        <v>0.84049212207420543</v>
      </c>
      <c r="P217" s="428">
        <f>P165/P215</f>
        <v>0.84049212207420543</v>
      </c>
      <c r="Q217" s="22"/>
      <c r="R217" s="22"/>
      <c r="S217" s="609"/>
      <c r="T217" s="497"/>
      <c r="U217" s="510"/>
      <c r="V217" s="510"/>
      <c r="W217" s="510"/>
      <c r="X217" s="510"/>
      <c r="Y217" s="510"/>
      <c r="Z217" s="510"/>
      <c r="AA217" s="511"/>
      <c r="AB217" s="597" t="s">
        <v>242</v>
      </c>
      <c r="AC217" s="178" t="s">
        <v>8</v>
      </c>
      <c r="AD217" s="428">
        <f>AD280/AD215</f>
        <v>0.95896344414619428</v>
      </c>
      <c r="AE217" s="428">
        <f>AE280/AE215</f>
        <v>0.95896344414619428</v>
      </c>
      <c r="AF217" s="428">
        <f>AF280/AF215</f>
        <v>0.8022650093061785</v>
      </c>
      <c r="AG217" s="428">
        <f>AG280/AG215</f>
        <v>0.8022650093061785</v>
      </c>
      <c r="AH217" s="22"/>
      <c r="AI217" s="22"/>
      <c r="AJ217" s="22"/>
      <c r="AK217" s="22"/>
      <c r="AL217" s="22"/>
    </row>
    <row r="218" spans="1:38" s="433" customFormat="1" ht="12" x14ac:dyDescent="0.2">
      <c r="A218" s="22"/>
      <c r="B218" s="610"/>
      <c r="C218" s="500"/>
      <c r="D218" s="512"/>
      <c r="E218" s="512"/>
      <c r="F218" s="512"/>
      <c r="G218" s="512"/>
      <c r="H218" s="512"/>
      <c r="I218" s="512"/>
      <c r="J218" s="513"/>
      <c r="K218" s="613"/>
      <c r="L218" s="401" t="s">
        <v>9</v>
      </c>
      <c r="M218" s="430">
        <f>M166/M215</f>
        <v>1.0054531512240457</v>
      </c>
      <c r="N218" s="430">
        <f>N166/N215</f>
        <v>1.0054531512240457</v>
      </c>
      <c r="O218" s="430">
        <f>O166/O215</f>
        <v>0.84049212207420543</v>
      </c>
      <c r="P218" s="430">
        <f>P166/P215</f>
        <v>0.84049212207420543</v>
      </c>
      <c r="Q218" s="22"/>
      <c r="R218" s="22"/>
      <c r="S218" s="610"/>
      <c r="T218" s="500"/>
      <c r="U218" s="512"/>
      <c r="V218" s="512"/>
      <c r="W218" s="512"/>
      <c r="X218" s="512"/>
      <c r="Y218" s="512"/>
      <c r="Z218" s="512"/>
      <c r="AA218" s="513"/>
      <c r="AB218" s="613"/>
      <c r="AC218" s="401" t="s">
        <v>9</v>
      </c>
      <c r="AD218" s="430">
        <f>AD281/AD215</f>
        <v>0.95896344414619428</v>
      </c>
      <c r="AE218" s="430">
        <f>AE281/AE215</f>
        <v>0.95896344414619428</v>
      </c>
      <c r="AF218" s="430">
        <f>AF281/AF215</f>
        <v>0.8022650093061785</v>
      </c>
      <c r="AG218" s="430">
        <f>AG281/AG215</f>
        <v>0.8022650093061785</v>
      </c>
      <c r="AH218" s="22"/>
      <c r="AI218" s="22"/>
      <c r="AJ218" s="22"/>
      <c r="AK218" s="22"/>
      <c r="AL218" s="22"/>
    </row>
    <row r="219" spans="1:38" x14ac:dyDescent="0.2">
      <c r="A219" s="19"/>
      <c r="B219" s="198"/>
      <c r="C219" s="194"/>
      <c r="D219" s="199"/>
      <c r="E219" s="199"/>
      <c r="F219" s="199"/>
      <c r="G219" s="199"/>
      <c r="H219" s="199"/>
      <c r="I219" s="199"/>
      <c r="J219" s="199"/>
      <c r="K219" s="198"/>
      <c r="L219" s="194"/>
      <c r="M219" s="51" t="str">
        <f>CONCATENATE($B$85,"/",$B$52," ratio")</f>
        <v>Exptal/Control ratio</v>
      </c>
      <c r="N219" s="199"/>
      <c r="O219" s="199"/>
      <c r="P219" s="199"/>
      <c r="Q219" s="19"/>
      <c r="R219" s="19"/>
      <c r="S219" s="198"/>
      <c r="T219" s="194"/>
      <c r="U219" s="194"/>
      <c r="V219" s="194"/>
      <c r="W219" s="199"/>
      <c r="X219" s="199"/>
      <c r="Y219" s="199"/>
      <c r="Z219" s="199"/>
      <c r="AA219" s="199"/>
      <c r="AB219" s="198"/>
      <c r="AC219" s="194"/>
      <c r="AD219" s="51" t="str">
        <f>CONCATENATE($B$85,"/",$B$52," ratio")</f>
        <v>Exptal/Control ratio</v>
      </c>
      <c r="AE219" s="199"/>
      <c r="AF219" s="199"/>
      <c r="AG219" s="199"/>
      <c r="AH219" s="19"/>
      <c r="AI219" s="19"/>
      <c r="AJ219" s="19"/>
      <c r="AK219" s="19"/>
      <c r="AL219" s="19"/>
    </row>
    <row r="220" spans="1:38" ht="15.6" customHeight="1" x14ac:dyDescent="0.2">
      <c r="A220" s="19"/>
      <c r="B220" s="51"/>
      <c r="C220" s="19"/>
      <c r="D220" s="387"/>
      <c r="E220" s="51"/>
      <c r="F220" s="19"/>
      <c r="G220" s="19"/>
      <c r="H220" s="19"/>
      <c r="I220" s="19"/>
      <c r="J220" s="19"/>
      <c r="K220" s="155" t="s">
        <v>3</v>
      </c>
      <c r="L220" s="19"/>
      <c r="M220" s="565" t="s">
        <v>100</v>
      </c>
      <c r="N220" s="565"/>
      <c r="O220" s="565" t="s">
        <v>101</v>
      </c>
      <c r="P220" s="565"/>
      <c r="Q220" s="19"/>
      <c r="R220" s="19"/>
      <c r="S220" s="51"/>
      <c r="T220" s="19"/>
      <c r="U220" s="19"/>
      <c r="V220" s="387"/>
      <c r="W220" s="199"/>
      <c r="X220" s="51"/>
      <c r="Y220" s="51"/>
      <c r="Z220" s="51"/>
      <c r="AA220" s="51"/>
      <c r="AB220" s="51" t="s">
        <v>4</v>
      </c>
      <c r="AC220" s="19"/>
      <c r="AD220" s="565" t="s">
        <v>100</v>
      </c>
      <c r="AE220" s="565"/>
      <c r="AF220" s="565" t="s">
        <v>101</v>
      </c>
      <c r="AG220" s="565"/>
      <c r="AH220" s="19"/>
      <c r="AI220" s="19"/>
      <c r="AJ220" s="19"/>
      <c r="AK220" s="19"/>
      <c r="AL220" s="19"/>
    </row>
    <row r="221" spans="1:38" s="14" customFormat="1" ht="40.15" customHeight="1" x14ac:dyDescent="0.2">
      <c r="A221" s="19"/>
      <c r="B221" s="19"/>
      <c r="C221" s="19"/>
      <c r="D221" s="19"/>
      <c r="E221" s="19"/>
      <c r="F221" s="19"/>
      <c r="G221" s="19"/>
      <c r="H221" s="19"/>
      <c r="I221" s="19"/>
      <c r="J221" s="19"/>
      <c r="K221" s="566" t="s">
        <v>246</v>
      </c>
      <c r="L221" s="567"/>
      <c r="M221" s="184" t="str">
        <f>M50</f>
        <v>Custom effect, not adjusted</v>
      </c>
      <c r="N221" s="184" t="str">
        <f>N50</f>
        <v>Custom effect, not adjusted</v>
      </c>
      <c r="O221" s="184" t="str">
        <f>O50</f>
        <v>Custom effect, adjusted</v>
      </c>
      <c r="P221" s="184" t="str">
        <f>P50</f>
        <v>Custom effect, adjusted</v>
      </c>
      <c r="Q221" s="52"/>
      <c r="R221" s="52"/>
      <c r="S221" s="37"/>
      <c r="T221" s="37"/>
      <c r="U221" s="37"/>
      <c r="V221" s="37"/>
      <c r="W221" s="37"/>
      <c r="X221" s="37"/>
      <c r="Y221" s="37"/>
      <c r="Z221" s="37"/>
      <c r="AA221" s="37"/>
      <c r="AB221" s="566" t="s">
        <v>246</v>
      </c>
      <c r="AC221" s="567"/>
      <c r="AD221" s="388" t="str">
        <f>AD50</f>
        <v>Custom effect, not adjusted</v>
      </c>
      <c r="AE221" s="388" t="str">
        <f>AE50</f>
        <v>Custom effect, not adjusted</v>
      </c>
      <c r="AF221" s="388" t="str">
        <f>AF50</f>
        <v>Custom effect, adjusted</v>
      </c>
      <c r="AG221" s="388" t="str">
        <f>AG50</f>
        <v>Custom effect, adjusted</v>
      </c>
      <c r="AH221" s="52"/>
      <c r="AI221" s="52"/>
      <c r="AJ221" s="52"/>
      <c r="AK221" s="52"/>
      <c r="AL221" s="52"/>
    </row>
    <row r="222" spans="1:38" s="8" customFormat="1" ht="12" customHeight="1" x14ac:dyDescent="0.2">
      <c r="A222" s="37"/>
      <c r="B222" s="19"/>
      <c r="C222" s="19"/>
      <c r="D222" s="19"/>
      <c r="E222" s="19"/>
      <c r="F222" s="19"/>
      <c r="G222" s="19"/>
      <c r="H222" s="19"/>
      <c r="I222" s="19"/>
      <c r="J222" s="19"/>
      <c r="K222" s="151"/>
      <c r="L222" s="176" t="s">
        <v>240</v>
      </c>
      <c r="M222" s="172">
        <f>$F$42</f>
        <v>0</v>
      </c>
      <c r="N222" s="172">
        <f>$F$42</f>
        <v>0</v>
      </c>
      <c r="O222" s="172">
        <f>$F$42</f>
        <v>0</v>
      </c>
      <c r="P222" s="172">
        <f>$F$42</f>
        <v>0</v>
      </c>
      <c r="Q222" s="37"/>
      <c r="R222" s="37"/>
      <c r="S222" s="37"/>
      <c r="T222" s="37"/>
      <c r="U222" s="37"/>
      <c r="V222" s="37"/>
      <c r="W222" s="37"/>
      <c r="X222" s="37"/>
      <c r="Y222" s="37"/>
      <c r="Z222" s="37"/>
      <c r="AA222" s="37"/>
      <c r="AB222" s="151"/>
      <c r="AC222" s="176" t="s">
        <v>240</v>
      </c>
      <c r="AD222" s="172">
        <f>$F$42</f>
        <v>0</v>
      </c>
      <c r="AE222" s="172">
        <f>$F$42</f>
        <v>0</v>
      </c>
      <c r="AF222" s="172">
        <f>$F$42</f>
        <v>0</v>
      </c>
      <c r="AG222" s="172">
        <f>$F$42</f>
        <v>0</v>
      </c>
      <c r="AH222" s="37"/>
      <c r="AI222" s="37"/>
      <c r="AJ222" s="37"/>
      <c r="AK222" s="37"/>
      <c r="AL222" s="37"/>
    </row>
    <row r="223" spans="1:38" s="8" customFormat="1" ht="12.95" customHeight="1" x14ac:dyDescent="0.2">
      <c r="A223" s="37"/>
      <c r="B223" s="19"/>
      <c r="C223" s="19"/>
      <c r="D223" s="19"/>
      <c r="E223" s="19"/>
      <c r="F223" s="19"/>
      <c r="G223" s="19"/>
      <c r="H223" s="19"/>
      <c r="I223" s="19"/>
      <c r="J223" s="19"/>
      <c r="K223" s="151"/>
      <c r="L223" s="437" t="s">
        <v>216</v>
      </c>
      <c r="M223" s="192">
        <f>M106/M73</f>
        <v>1.5606576852187581</v>
      </c>
      <c r="N223" s="192">
        <f>N106/N73</f>
        <v>1.5606576852187581</v>
      </c>
      <c r="O223" s="192">
        <f>O106/O73</f>
        <v>1.4215934129026437</v>
      </c>
      <c r="P223" s="192">
        <f>P106/P73</f>
        <v>1.4215934129026437</v>
      </c>
      <c r="Q223" s="37"/>
      <c r="R223" s="37"/>
      <c r="S223" s="37"/>
      <c r="T223" s="37"/>
      <c r="U223" s="37"/>
      <c r="V223" s="37"/>
      <c r="W223" s="37"/>
      <c r="X223" s="37"/>
      <c r="Y223" s="37"/>
      <c r="Z223" s="37"/>
      <c r="AA223" s="37"/>
      <c r="AB223" s="151"/>
      <c r="AC223" s="437" t="s">
        <v>216</v>
      </c>
      <c r="AD223" s="192">
        <f>AD106/AD73</f>
        <v>1.5226335847146175</v>
      </c>
      <c r="AE223" s="192">
        <f>AE106/AE73</f>
        <v>1.5226335847146175</v>
      </c>
      <c r="AF223" s="192">
        <f>AF106/AF73</f>
        <v>1.3929347941612975</v>
      </c>
      <c r="AG223" s="192">
        <f>AG106/AG73</f>
        <v>1.3929347941612975</v>
      </c>
      <c r="AH223" s="37"/>
      <c r="AI223" s="37"/>
      <c r="AJ223" s="37"/>
      <c r="AK223" s="37"/>
      <c r="AL223" s="37"/>
    </row>
    <row r="224" spans="1:38" s="8" customFormat="1" ht="13.15" customHeight="1" x14ac:dyDescent="0.2">
      <c r="A224" s="37"/>
      <c r="B224" s="19"/>
      <c r="C224" s="19"/>
      <c r="D224" s="19"/>
      <c r="E224" s="19"/>
      <c r="F224" s="19"/>
      <c r="G224" s="19"/>
      <c r="H224" s="19"/>
      <c r="I224" s="19"/>
      <c r="J224" s="19"/>
      <c r="K224" s="568" t="s">
        <v>243</v>
      </c>
      <c r="L224" s="405" t="s">
        <v>8</v>
      </c>
      <c r="M224" s="190">
        <f>SQRT(FINV((1-(100-M222)/100/2),M75,M108))*M223</f>
        <v>1.5606576852187581</v>
      </c>
      <c r="N224" s="190">
        <f>SQRT(FINV((1-(100-N222)/100/2),N75,N108))*N223</f>
        <v>1.5606576852187581</v>
      </c>
      <c r="O224" s="190">
        <f>SQRT(FINV((1-(100-O222)/100/2),O75,O108))*O223</f>
        <v>1.4215934129026437</v>
      </c>
      <c r="P224" s="190">
        <f>SQRT(FINV((1-(100-P222)/100/2),P75,P108))*P223</f>
        <v>1.4215934129026437</v>
      </c>
      <c r="Q224" s="37"/>
      <c r="R224" s="37"/>
      <c r="S224" s="37"/>
      <c r="T224" s="37"/>
      <c r="U224" s="37"/>
      <c r="V224" s="37"/>
      <c r="W224" s="37"/>
      <c r="X224" s="37"/>
      <c r="Y224" s="37"/>
      <c r="Z224" s="37"/>
      <c r="AA224" s="37"/>
      <c r="AB224" s="568" t="s">
        <v>243</v>
      </c>
      <c r="AC224" s="405" t="s">
        <v>8</v>
      </c>
      <c r="AD224" s="190">
        <f>SQRT(FINV((1-(100-AD222)/100/2),AD75,AD108))*AD223</f>
        <v>1.5226335847146175</v>
      </c>
      <c r="AE224" s="190">
        <f>SQRT(FINV((1-(100-AE222)/100/2),AE75,AE108))*AE223</f>
        <v>1.5226335847146175</v>
      </c>
      <c r="AF224" s="190">
        <f>SQRT(FINV((1-(100-AF222)/100/2),AF75,AF108))*AF223</f>
        <v>1.3929347941612975</v>
      </c>
      <c r="AG224" s="190">
        <f>SQRT(FINV((1-(100-AG222)/100/2),AG75,AG108))*AG223</f>
        <v>1.3929347941612975</v>
      </c>
      <c r="AH224" s="37"/>
      <c r="AI224" s="37"/>
      <c r="AJ224" s="37"/>
      <c r="AK224" s="37"/>
      <c r="AL224" s="37"/>
    </row>
    <row r="225" spans="1:38" s="8" customFormat="1" ht="12.95" customHeight="1" x14ac:dyDescent="0.2">
      <c r="A225" s="37"/>
      <c r="B225" s="19"/>
      <c r="C225" s="19"/>
      <c r="D225" s="19"/>
      <c r="E225" s="19"/>
      <c r="F225" s="19"/>
      <c r="G225" s="19"/>
      <c r="H225" s="19"/>
      <c r="I225" s="19"/>
      <c r="J225" s="19"/>
      <c r="K225" s="569"/>
      <c r="L225" s="406" t="s">
        <v>9</v>
      </c>
      <c r="M225" s="191">
        <f>SQRT(FINV((100-M222)/100/2,M75,M108))*M223</f>
        <v>1.5606576852187581</v>
      </c>
      <c r="N225" s="191">
        <f>SQRT(FINV((100-N222)/100/2,N75,N108))*N223</f>
        <v>1.5606576852187581</v>
      </c>
      <c r="O225" s="191">
        <f>SQRT(FINV((100-O222)/100/2,O75,O108))*O223</f>
        <v>1.4215934129026437</v>
      </c>
      <c r="P225" s="191">
        <f>SQRT(FINV((100-P222)/100/2,P75,P108))*P223</f>
        <v>1.4215934129026437</v>
      </c>
      <c r="Q225" s="37"/>
      <c r="R225" s="37"/>
      <c r="S225" s="37"/>
      <c r="T225" s="37"/>
      <c r="U225" s="37"/>
      <c r="V225" s="37"/>
      <c r="W225" s="37"/>
      <c r="X225" s="37"/>
      <c r="Y225" s="37"/>
      <c r="Z225" s="37"/>
      <c r="AA225" s="37"/>
      <c r="AB225" s="569"/>
      <c r="AC225" s="406" t="s">
        <v>9</v>
      </c>
      <c r="AD225" s="191">
        <f>SQRT(FINV((100-AD222)/100/2,AD75,AD108))*AD223</f>
        <v>1.5226335847146175</v>
      </c>
      <c r="AE225" s="191">
        <f>SQRT(FINV((100-AE222)/100/2,AE75,AE108))*AE223</f>
        <v>1.5226335847146175</v>
      </c>
      <c r="AF225" s="191">
        <f>SQRT(FINV((100-AF222)/100/2,AF75,AF108))*AF223</f>
        <v>1.3929347941612975</v>
      </c>
      <c r="AG225" s="191">
        <f>SQRT(FINV((100-AG222)/100/2,AG75,AG108))*AG223</f>
        <v>1.3929347941612975</v>
      </c>
      <c r="AH225" s="37"/>
      <c r="AI225" s="37"/>
      <c r="AJ225" s="37"/>
      <c r="AK225" s="37"/>
      <c r="AL225" s="37"/>
    </row>
    <row r="226" spans="1:38" s="8" customFormat="1" ht="12.95" customHeight="1" x14ac:dyDescent="0.2">
      <c r="A226" s="37"/>
      <c r="B226" s="19"/>
      <c r="C226" s="19"/>
      <c r="D226" s="19"/>
      <c r="E226" s="19"/>
      <c r="F226" s="19"/>
      <c r="G226" s="19"/>
      <c r="H226" s="19"/>
      <c r="I226" s="19"/>
      <c r="J226" s="19"/>
      <c r="K226" s="570"/>
      <c r="L226" s="182" t="s">
        <v>215</v>
      </c>
      <c r="M226" s="192">
        <f t="shared" ref="M226:P226" si="157">SQRT(M225/M224)</f>
        <v>1</v>
      </c>
      <c r="N226" s="192">
        <f t="shared" si="157"/>
        <v>1</v>
      </c>
      <c r="O226" s="192">
        <f t="shared" si="157"/>
        <v>1</v>
      </c>
      <c r="P226" s="192">
        <f t="shared" si="157"/>
        <v>1</v>
      </c>
      <c r="Q226" s="37"/>
      <c r="R226" s="37"/>
      <c r="S226" s="37"/>
      <c r="T226" s="37"/>
      <c r="U226" s="37"/>
      <c r="V226" s="37"/>
      <c r="W226" s="37"/>
      <c r="X226" s="37"/>
      <c r="Y226" s="37"/>
      <c r="Z226" s="37"/>
      <c r="AA226" s="37"/>
      <c r="AB226" s="570"/>
      <c r="AC226" s="182" t="s">
        <v>215</v>
      </c>
      <c r="AD226" s="192">
        <f>SQRT(AD225/AD224)</f>
        <v>1</v>
      </c>
      <c r="AE226" s="192">
        <f t="shared" ref="AE226:AG226" si="158">SQRT(AE225/AE224)</f>
        <v>1</v>
      </c>
      <c r="AF226" s="192">
        <f t="shared" si="158"/>
        <v>1</v>
      </c>
      <c r="AG226" s="192">
        <f t="shared" si="158"/>
        <v>1</v>
      </c>
      <c r="AH226" s="37"/>
      <c r="AI226" s="37"/>
      <c r="AJ226" s="37"/>
      <c r="AK226" s="37"/>
      <c r="AL226" s="37"/>
    </row>
    <row r="227" spans="1:38" s="433" customFormat="1" ht="13.15" customHeight="1" x14ac:dyDescent="0.2">
      <c r="A227" s="22"/>
      <c r="B227" s="19"/>
      <c r="C227" s="19"/>
      <c r="D227" s="19"/>
      <c r="E227" s="19"/>
      <c r="F227" s="19"/>
      <c r="G227" s="19"/>
      <c r="H227" s="19"/>
      <c r="I227" s="19"/>
      <c r="J227" s="19"/>
      <c r="K227" s="571" t="s">
        <v>64</v>
      </c>
      <c r="L227" s="200" t="s">
        <v>78</v>
      </c>
      <c r="M227" s="386" t="str">
        <f>IF($C$36&amp;$C$39="","",IF(ISBLANK($C$39),SQRT(1+($C$36/M73)^2/4),SQRT(1+($C$39*$F$135/M73)^2/4)))</f>
        <v/>
      </c>
      <c r="N227" s="386" t="str">
        <f>IF($C$36&amp;$C$39="","",IF(ISBLANK($C$39),SQRT(1+($C$36/N73)^2/4),SQRT(1+($C$39*$F$135/N73)^2/4)))</f>
        <v/>
      </c>
      <c r="O227" s="386" t="str">
        <f>IF($C$36&amp;$C$39="","",IF(ISBLANK($C$39),SQRT(1+($C$36/O73)^2/4),SQRT(1+($C$39*$F$135/O73)^2/4)))</f>
        <v/>
      </c>
      <c r="P227" s="386" t="str">
        <f>IF($C$36&amp;$C$39="","",IF(ISBLANK($C$39),SQRT(1+($C$36/P73)^2/4),SQRT(1+($C$39*$F$135/P73)^2/4)))</f>
        <v/>
      </c>
      <c r="Q227" s="22"/>
      <c r="R227" s="22"/>
      <c r="S227" s="37"/>
      <c r="T227" s="37"/>
      <c r="U227" s="37"/>
      <c r="V227" s="37"/>
      <c r="W227" s="37"/>
      <c r="X227" s="37"/>
      <c r="Y227" s="37"/>
      <c r="Z227" s="37"/>
      <c r="AA227" s="37"/>
      <c r="AB227" s="571" t="s">
        <v>64</v>
      </c>
      <c r="AC227" s="200" t="s">
        <v>78</v>
      </c>
      <c r="AD227" s="386" t="str">
        <f>IF($C$37&amp;$C$38&amp;$C$39="","",IF(ISBLANK($C$39),IF(ISBLANK($C$38),SQRT(1+(100*LN(1+$C$37/100)/AD73)^2/4),SQRT(1+(100*LN($C$38)/AD73)^2/4)),SQRT(1+($C$39*$W$135/AD73)^2/4)))</f>
        <v/>
      </c>
      <c r="AE227" s="386" t="str">
        <f>IF($C$37&amp;$C$38&amp;$C$39="","",IF(ISBLANK($C$39),IF(ISBLANK($C$38),SQRT(1+(100*LN(1+$C$37/100)/AE73)^2/4),SQRT(1+(100*LN($C$38)/AE73)^2/4)),SQRT(1+($C$39*$W$135/AE73)^2/4)))</f>
        <v/>
      </c>
      <c r="AF227" s="386" t="str">
        <f>IF($C$37&amp;$C$38&amp;$C$39="","",IF(ISBLANK($C$39),IF(ISBLANK($C$38),SQRT(1+(100*LN(1+$C$37/100)/AF73)^2/4),SQRT(1+(100*LN($C$38)/AF73)^2/4)),SQRT(1+($C$39*$W$135/AF73)^2/4)))</f>
        <v/>
      </c>
      <c r="AG227" s="386" t="str">
        <f>IF($C$37&amp;$C$38&amp;$C$39="","",IF(ISBLANK($C$39),IF(ISBLANK($C$38),SQRT(1+(100*LN(1+$C$37/100)/AG73)^2/4),SQRT(1+(100*LN($C$38)/AG73)^2/4)),SQRT(1+($C$39*$W$135/AG73)^2/4)))</f>
        <v/>
      </c>
      <c r="AH227" s="22"/>
      <c r="AI227" s="22"/>
      <c r="AJ227" s="22"/>
      <c r="AK227" s="22"/>
      <c r="AL227" s="22"/>
    </row>
    <row r="228" spans="1:38" s="433" customFormat="1" ht="12.95" customHeight="1" x14ac:dyDescent="0.2">
      <c r="A228" s="22"/>
      <c r="B228" s="19"/>
      <c r="C228" s="19"/>
      <c r="D228" s="19"/>
      <c r="E228" s="19"/>
      <c r="F228" s="19"/>
      <c r="G228" s="19"/>
      <c r="H228" s="19"/>
      <c r="I228" s="19"/>
      <c r="J228" s="19"/>
      <c r="K228" s="572"/>
      <c r="L228" s="200" t="s">
        <v>79</v>
      </c>
      <c r="M228" s="386" t="str">
        <f>IF($C$36&amp;$C$39="","",1/IF(ISBLANK($C$39),SQRT(1+($C$36/M106)^2/4),SQRT(1+($C$39*$F$135/M106)^2/4)))</f>
        <v/>
      </c>
      <c r="N228" s="386" t="str">
        <f>IF($C$36&amp;$C$39="","",1/IF(ISBLANK($C$39),SQRT(1+($C$36/N106)^2/4),SQRT(1+($C$39*$F$135/N106)^2/4)))</f>
        <v/>
      </c>
      <c r="O228" s="386" t="str">
        <f>IF($C$36&amp;$C$39="","",1/IF(ISBLANK($C$39),SQRT(1+($C$36/O106)^2/4),SQRT(1+($C$39*$F$135/O106)^2/4)))</f>
        <v/>
      </c>
      <c r="P228" s="386" t="str">
        <f>IF($C$36&amp;$C$39="","",1/IF(ISBLANK($C$39),SQRT(1+($C$36/P106)^2/4),SQRT(1+($C$39*$F$135/P106)^2/4)))</f>
        <v/>
      </c>
      <c r="Q228" s="22"/>
      <c r="R228" s="22"/>
      <c r="S228" s="37"/>
      <c r="T228" s="37"/>
      <c r="U228" s="37"/>
      <c r="V228" s="37"/>
      <c r="W228" s="37"/>
      <c r="X228" s="37"/>
      <c r="Y228" s="37"/>
      <c r="Z228" s="37"/>
      <c r="AA228" s="37"/>
      <c r="AB228" s="572"/>
      <c r="AC228" s="200" t="s">
        <v>79</v>
      </c>
      <c r="AD228" s="386" t="str">
        <f t="shared" ref="AD228:AG228" si="159">IF(AD227="","",1/AD227)</f>
        <v/>
      </c>
      <c r="AE228" s="386" t="str">
        <f t="shared" si="159"/>
        <v/>
      </c>
      <c r="AF228" s="386" t="str">
        <f t="shared" si="159"/>
        <v/>
      </c>
      <c r="AG228" s="386" t="str">
        <f t="shared" si="159"/>
        <v/>
      </c>
      <c r="AH228" s="22"/>
      <c r="AI228" s="22"/>
      <c r="AJ228" s="22"/>
      <c r="AK228" s="22"/>
      <c r="AL228" s="22"/>
    </row>
    <row r="229" spans="1:38" s="433" customFormat="1" ht="12.95" customHeight="1" x14ac:dyDescent="0.2">
      <c r="A229" s="22"/>
      <c r="B229" s="19"/>
      <c r="C229" s="19"/>
      <c r="D229" s="19"/>
      <c r="E229" s="19"/>
      <c r="F229" s="19"/>
      <c r="G229" s="19"/>
      <c r="H229" s="19"/>
      <c r="I229" s="19"/>
      <c r="J229" s="19"/>
      <c r="K229" s="571" t="s">
        <v>136</v>
      </c>
      <c r="L229" s="574" t="s">
        <v>80</v>
      </c>
      <c r="M229" s="668" t="e">
        <f>100*FDIST(1/M223^2*M227^2,M75,M108)</f>
        <v>#VALUE!</v>
      </c>
      <c r="N229" s="668" t="e">
        <f>100*FDIST(1/N223^2*N227^2,N75,N108)</f>
        <v>#VALUE!</v>
      </c>
      <c r="O229" s="668" t="e">
        <f>100*FDIST(1/O223^2*O227^2,O75,O108)</f>
        <v>#VALUE!</v>
      </c>
      <c r="P229" s="668" t="e">
        <f>100*FDIST(1/P223^2*P227^2,P75,P108)</f>
        <v>#VALUE!</v>
      </c>
      <c r="Q229" s="22"/>
      <c r="R229" s="22"/>
      <c r="S229" s="37"/>
      <c r="T229" s="37"/>
      <c r="U229" s="37"/>
      <c r="V229" s="37"/>
      <c r="W229" s="37"/>
      <c r="X229" s="37"/>
      <c r="Y229" s="37"/>
      <c r="Z229" s="37"/>
      <c r="AA229" s="37"/>
      <c r="AB229" s="571" t="s">
        <v>136</v>
      </c>
      <c r="AC229" s="574" t="s">
        <v>80</v>
      </c>
      <c r="AD229" s="668" t="e">
        <f>100*FDIST(1/AD223^2*AD227^2,AD75,AD108)</f>
        <v>#VALUE!</v>
      </c>
      <c r="AE229" s="668" t="e">
        <f>100*FDIST(1/AE223^2*AE227^2,AE75,AE108)</f>
        <v>#VALUE!</v>
      </c>
      <c r="AF229" s="668" t="e">
        <f>100*FDIST(1/AF223^2*AF227^2,AF75,AF108)</f>
        <v>#VALUE!</v>
      </c>
      <c r="AG229" s="668" t="e">
        <f>100*FDIST(1/AG223^2*AG227^2,AG75,AG108)</f>
        <v>#VALUE!</v>
      </c>
      <c r="AH229" s="22"/>
      <c r="AI229" s="22"/>
      <c r="AJ229" s="22"/>
      <c r="AK229" s="22"/>
      <c r="AL229" s="22"/>
    </row>
    <row r="230" spans="1:38" s="433" customFormat="1" ht="30.95" customHeight="1" x14ac:dyDescent="0.2">
      <c r="A230" s="22"/>
      <c r="B230" s="19"/>
      <c r="C230" s="19"/>
      <c r="D230" s="19"/>
      <c r="E230" s="19"/>
      <c r="F230" s="19"/>
      <c r="G230" s="19"/>
      <c r="H230" s="19"/>
      <c r="I230" s="19"/>
      <c r="J230" s="19"/>
      <c r="K230" s="573"/>
      <c r="L230" s="575"/>
      <c r="M230" s="410" t="e">
        <f t="shared" ref="M230:P230" si="160">IF(M229&lt;0.5,"most unlikely",IF(M229&lt;5,"very unlikely",IF(M229&lt;25,"unlikely",IF(M229&lt;75,"possibly",IF(M229&lt;95,"likely",IF(M229&lt;99.5,"very likely","most likely"))))))</f>
        <v>#VALUE!</v>
      </c>
      <c r="N230" s="410" t="e">
        <f t="shared" si="160"/>
        <v>#VALUE!</v>
      </c>
      <c r="O230" s="410" t="e">
        <f t="shared" si="160"/>
        <v>#VALUE!</v>
      </c>
      <c r="P230" s="410" t="e">
        <f t="shared" si="160"/>
        <v>#VALUE!</v>
      </c>
      <c r="Q230" s="22"/>
      <c r="R230" s="22"/>
      <c r="S230" s="37"/>
      <c r="T230" s="37"/>
      <c r="U230" s="37"/>
      <c r="V230" s="37"/>
      <c r="W230" s="37"/>
      <c r="X230" s="37"/>
      <c r="Y230" s="37"/>
      <c r="Z230" s="37"/>
      <c r="AA230" s="37"/>
      <c r="AB230" s="573"/>
      <c r="AC230" s="575"/>
      <c r="AD230" s="410" t="e">
        <f>IF(AD229&lt;0.5,"most unlikely",IF(AD229&lt;5,"very unlikely",IF(AD229&lt;25,"unlikely",IF(AD229&lt;75,"possibly",IF(AD229&lt;95,"likely",IF(AD229&lt;99.5,"very likely","most likely"))))))</f>
        <v>#VALUE!</v>
      </c>
      <c r="AE230" s="410" t="e">
        <f t="shared" ref="AE230:AG230" si="161">IF(AE229&lt;0.5,"most unlikely",IF(AE229&lt;5,"very unlikely",IF(AE229&lt;25,"unlikely",IF(AE229&lt;75,"possibly",IF(AE229&lt;95,"likely",IF(AE229&lt;99.5,"very likely","most likely"))))))</f>
        <v>#VALUE!</v>
      </c>
      <c r="AF230" s="410" t="e">
        <f t="shared" si="161"/>
        <v>#VALUE!</v>
      </c>
      <c r="AG230" s="410" t="e">
        <f t="shared" si="161"/>
        <v>#VALUE!</v>
      </c>
      <c r="AH230" s="22"/>
      <c r="AI230" s="22"/>
      <c r="AJ230" s="22"/>
      <c r="AK230" s="22"/>
      <c r="AL230" s="22"/>
    </row>
    <row r="231" spans="1:38" s="433" customFormat="1" ht="12.95" customHeight="1" x14ac:dyDescent="0.2">
      <c r="A231" s="22"/>
      <c r="B231" s="19"/>
      <c r="C231" s="19"/>
      <c r="D231" s="19"/>
      <c r="E231" s="19"/>
      <c r="F231" s="19"/>
      <c r="G231" s="19"/>
      <c r="H231" s="19"/>
      <c r="I231" s="19"/>
      <c r="J231" s="19"/>
      <c r="K231" s="573"/>
      <c r="L231" s="576" t="s">
        <v>11</v>
      </c>
      <c r="M231" s="668" t="e">
        <f t="shared" ref="M231:P231" si="162">100-M229-M233</f>
        <v>#VALUE!</v>
      </c>
      <c r="N231" s="668" t="e">
        <f t="shared" si="162"/>
        <v>#VALUE!</v>
      </c>
      <c r="O231" s="668" t="e">
        <f t="shared" si="162"/>
        <v>#VALUE!</v>
      </c>
      <c r="P231" s="668" t="e">
        <f t="shared" si="162"/>
        <v>#VALUE!</v>
      </c>
      <c r="Q231" s="22"/>
      <c r="R231" s="22"/>
      <c r="S231" s="37"/>
      <c r="T231" s="37"/>
      <c r="U231" s="37"/>
      <c r="V231" s="37"/>
      <c r="W231" s="37"/>
      <c r="X231" s="37"/>
      <c r="Y231" s="37"/>
      <c r="Z231" s="37"/>
      <c r="AA231" s="37"/>
      <c r="AB231" s="573"/>
      <c r="AC231" s="576" t="s">
        <v>11</v>
      </c>
      <c r="AD231" s="668" t="e">
        <f>100-AD229-AD233</f>
        <v>#VALUE!</v>
      </c>
      <c r="AE231" s="668" t="e">
        <f t="shared" ref="AE231:AG231" si="163">100-AE229-AE233</f>
        <v>#VALUE!</v>
      </c>
      <c r="AF231" s="668" t="e">
        <f t="shared" si="163"/>
        <v>#VALUE!</v>
      </c>
      <c r="AG231" s="668" t="e">
        <f t="shared" si="163"/>
        <v>#VALUE!</v>
      </c>
      <c r="AH231" s="22"/>
      <c r="AI231" s="22"/>
      <c r="AJ231" s="22"/>
      <c r="AK231" s="22"/>
      <c r="AL231" s="22"/>
    </row>
    <row r="232" spans="1:38" s="433" customFormat="1" ht="30.95" customHeight="1" x14ac:dyDescent="0.2">
      <c r="A232" s="22"/>
      <c r="B232" s="19"/>
      <c r="C232" s="19"/>
      <c r="D232" s="19"/>
      <c r="E232" s="19"/>
      <c r="F232" s="19"/>
      <c r="G232" s="19"/>
      <c r="H232" s="19"/>
      <c r="I232" s="19"/>
      <c r="J232" s="19"/>
      <c r="K232" s="573"/>
      <c r="L232" s="577"/>
      <c r="M232" s="410" t="e">
        <f t="shared" ref="M232:P232" si="164">IF(M231&lt;0.5,"most unlikely",IF(M231&lt;5,"very unlikely",IF(M231&lt;25,"unlikely",IF(M231&lt;75,"possibly",IF(M231&lt;95,"likely",IF(M231&lt;99.5,"very likely","most likely"))))))</f>
        <v>#VALUE!</v>
      </c>
      <c r="N232" s="410" t="e">
        <f t="shared" si="164"/>
        <v>#VALUE!</v>
      </c>
      <c r="O232" s="410" t="e">
        <f t="shared" si="164"/>
        <v>#VALUE!</v>
      </c>
      <c r="P232" s="410" t="e">
        <f t="shared" si="164"/>
        <v>#VALUE!</v>
      </c>
      <c r="Q232" s="22"/>
      <c r="R232" s="22"/>
      <c r="S232" s="37"/>
      <c r="T232" s="37"/>
      <c r="U232" s="37"/>
      <c r="V232" s="37"/>
      <c r="W232" s="37"/>
      <c r="X232" s="37"/>
      <c r="Y232" s="37"/>
      <c r="Z232" s="37"/>
      <c r="AA232" s="37"/>
      <c r="AB232" s="573"/>
      <c r="AC232" s="577"/>
      <c r="AD232" s="410" t="e">
        <f>IF(AD231&lt;0.5,"most unlikely",IF(AD231&lt;5,"very unlikely",IF(AD231&lt;25,"unlikely",IF(AD231&lt;75,"possibly",IF(AD231&lt;95,"likely",IF(AD231&lt;99.5,"very likely","most likely"))))))</f>
        <v>#VALUE!</v>
      </c>
      <c r="AE232" s="410" t="e">
        <f t="shared" ref="AE232:AG232" si="165">IF(AE231&lt;0.5,"most unlikely",IF(AE231&lt;5,"very unlikely",IF(AE231&lt;25,"unlikely",IF(AE231&lt;75,"possibly",IF(AE231&lt;95,"likely",IF(AE231&lt;99.5,"very likely","most likely"))))))</f>
        <v>#VALUE!</v>
      </c>
      <c r="AF232" s="410" t="e">
        <f t="shared" si="165"/>
        <v>#VALUE!</v>
      </c>
      <c r="AG232" s="410" t="e">
        <f t="shared" si="165"/>
        <v>#VALUE!</v>
      </c>
      <c r="AH232" s="22"/>
      <c r="AI232" s="22"/>
      <c r="AJ232" s="22"/>
      <c r="AK232" s="22"/>
      <c r="AL232" s="22"/>
    </row>
    <row r="233" spans="1:38" s="433" customFormat="1" ht="12.95" customHeight="1" x14ac:dyDescent="0.2">
      <c r="A233" s="22"/>
      <c r="B233" s="19"/>
      <c r="C233" s="19"/>
      <c r="D233" s="19"/>
      <c r="E233" s="19"/>
      <c r="F233" s="19"/>
      <c r="G233" s="19"/>
      <c r="H233" s="19"/>
      <c r="I233" s="19"/>
      <c r="J233" s="19"/>
      <c r="K233" s="573"/>
      <c r="L233" s="578" t="s">
        <v>81</v>
      </c>
      <c r="M233" s="668" t="e">
        <f>100-100*FDIST(1/M223^2*M228^2,M75,M108)</f>
        <v>#VALUE!</v>
      </c>
      <c r="N233" s="668" t="e">
        <f>100-100*FDIST(1/N223^2*N228^2,N75,N108)</f>
        <v>#VALUE!</v>
      </c>
      <c r="O233" s="668" t="e">
        <f>100-100*FDIST(1/O223^2*O228^2,O75,O108)</f>
        <v>#VALUE!</v>
      </c>
      <c r="P233" s="668" t="e">
        <f>100-100*FDIST(1/P223^2*P228^2,P75,P108)</f>
        <v>#VALUE!</v>
      </c>
      <c r="Q233" s="201"/>
      <c r="R233" s="201"/>
      <c r="S233" s="37"/>
      <c r="T233" s="37"/>
      <c r="U233" s="37"/>
      <c r="V233" s="37"/>
      <c r="W233" s="37"/>
      <c r="X233" s="37"/>
      <c r="Y233" s="37"/>
      <c r="Z233" s="37"/>
      <c r="AA233" s="37"/>
      <c r="AB233" s="573"/>
      <c r="AC233" s="578" t="s">
        <v>81</v>
      </c>
      <c r="AD233" s="668" t="e">
        <f>100-100*FDIST(1/AD223^2*AD228^2,AD75,AD108)</f>
        <v>#VALUE!</v>
      </c>
      <c r="AE233" s="668" t="e">
        <f>100-100*FDIST(1/AE223^2*AE228^2,AE75,AE108)</f>
        <v>#VALUE!</v>
      </c>
      <c r="AF233" s="668" t="e">
        <f>100-100*FDIST(1/AF223^2*AF228^2,AF75,AF108)</f>
        <v>#VALUE!</v>
      </c>
      <c r="AG233" s="668" t="e">
        <f>100-100*FDIST(1/AG223^2*AG228^2,AG75,AG108)</f>
        <v>#VALUE!</v>
      </c>
      <c r="AH233" s="22"/>
      <c r="AI233" s="22"/>
      <c r="AJ233" s="22"/>
      <c r="AK233" s="22"/>
      <c r="AL233" s="22"/>
    </row>
    <row r="234" spans="1:38" s="433" customFormat="1" ht="30.95" customHeight="1" x14ac:dyDescent="0.2">
      <c r="A234" s="22"/>
      <c r="B234" s="19"/>
      <c r="C234" s="19"/>
      <c r="D234" s="19"/>
      <c r="E234" s="19"/>
      <c r="F234" s="19"/>
      <c r="G234" s="19"/>
      <c r="H234" s="19"/>
      <c r="I234" s="19"/>
      <c r="J234" s="19"/>
      <c r="K234" s="572"/>
      <c r="L234" s="579"/>
      <c r="M234" s="410" t="e">
        <f t="shared" ref="M234:P234" si="166">IF(M233&lt;0.5,"most unlikely",IF(M233&lt;5,"very unlikely",IF(M233&lt;25,"unlikely",IF(M233&lt;75,"possibly",IF(M233&lt;95,"likely",IF(M233&lt;99.5,"very likely","most likely"))))))</f>
        <v>#VALUE!</v>
      </c>
      <c r="N234" s="410" t="e">
        <f t="shared" si="166"/>
        <v>#VALUE!</v>
      </c>
      <c r="O234" s="410" t="e">
        <f t="shared" si="166"/>
        <v>#VALUE!</v>
      </c>
      <c r="P234" s="410" t="e">
        <f t="shared" si="166"/>
        <v>#VALUE!</v>
      </c>
      <c r="Q234" s="22"/>
      <c r="R234" s="22"/>
      <c r="S234" s="37"/>
      <c r="T234" s="37"/>
      <c r="U234" s="37"/>
      <c r="V234" s="37"/>
      <c r="W234" s="37"/>
      <c r="X234" s="37"/>
      <c r="Y234" s="37"/>
      <c r="Z234" s="37"/>
      <c r="AA234" s="37"/>
      <c r="AB234" s="572"/>
      <c r="AC234" s="579"/>
      <c r="AD234" s="410" t="e">
        <f>IF(AD233&lt;0.5,"most unlikely",IF(AD233&lt;5,"very unlikely",IF(AD233&lt;25,"unlikely",IF(AD233&lt;75,"possibly",IF(AD233&lt;95,"likely",IF(AD233&lt;99.5,"very likely","most likely"))))))</f>
        <v>#VALUE!</v>
      </c>
      <c r="AE234" s="410" t="e">
        <f t="shared" ref="AE234:AG234" si="167">IF(AE233&lt;0.5,"most unlikely",IF(AE233&lt;5,"very unlikely",IF(AE233&lt;25,"unlikely",IF(AE233&lt;75,"possibly",IF(AE233&lt;95,"likely",IF(AE233&lt;99.5,"very likely","most likely"))))))</f>
        <v>#VALUE!</v>
      </c>
      <c r="AF234" s="410" t="e">
        <f t="shared" si="167"/>
        <v>#VALUE!</v>
      </c>
      <c r="AG234" s="410" t="e">
        <f t="shared" si="167"/>
        <v>#VALUE!</v>
      </c>
      <c r="AH234" s="22"/>
      <c r="AI234" s="22"/>
      <c r="AJ234" s="22"/>
      <c r="AK234" s="22"/>
      <c r="AL234" s="22"/>
    </row>
    <row r="235" spans="1:38" s="433" customFormat="1" ht="35.1" customHeight="1" x14ac:dyDescent="0.2">
      <c r="A235" s="22"/>
      <c r="B235" s="19"/>
      <c r="C235" s="19"/>
      <c r="D235" s="19"/>
      <c r="E235" s="19"/>
      <c r="F235" s="19"/>
      <c r="G235" s="19"/>
      <c r="H235" s="19"/>
      <c r="I235" s="19"/>
      <c r="J235" s="19"/>
      <c r="K235" s="580" t="str">
        <f>"Non-clinical  decision, based on threshold chances of "&amp;$F$44&amp;"% for substantial magnitudes"</f>
        <v>Non-clinical  decision, based on threshold chances of 50% for substantial magnitudes</v>
      </c>
      <c r="L235" s="581"/>
      <c r="M235" s="403" t="e">
        <f>IF(MIN(M229,M233)&gt;$F$44,"unclear; get more data",IF(M229&gt;25,M230&amp;" &gt;",IF(M233&gt;25,M234&amp;" &lt;",M232&amp;" trivial")))</f>
        <v>#VALUE!</v>
      </c>
      <c r="N235" s="403" t="e">
        <f t="shared" ref="N235" si="168">IF(MIN(N229,N233)&gt;$F$44,"unclear; get more data",IF(N229&gt;25,N230&amp;" &gt;",IF(N233&gt;25,N234&amp;" &lt;",N232&amp;" trivial")))</f>
        <v>#VALUE!</v>
      </c>
      <c r="O235" s="403" t="e">
        <f t="shared" ref="O235" si="169">IF(MIN(O229,O233)&gt;$F$44,"unclear; get more data",IF(O229&gt;25,O230&amp;" &gt;",IF(O233&gt;25,O234&amp;" &lt;",O232&amp;" trivial")))</f>
        <v>#VALUE!</v>
      </c>
      <c r="P235" s="403" t="e">
        <f t="shared" ref="P235" si="170">IF(MIN(P229,P233)&gt;$F$44,"unclear; get more data",IF(P229&gt;25,P230&amp;" &gt;",IF(P233&gt;25,P234&amp;" &lt;",P232&amp;" trivial")))</f>
        <v>#VALUE!</v>
      </c>
      <c r="Q235" s="22"/>
      <c r="R235" s="22"/>
      <c r="S235" s="37"/>
      <c r="T235" s="37"/>
      <c r="U235" s="37"/>
      <c r="V235" s="37"/>
      <c r="W235" s="37"/>
      <c r="X235" s="37"/>
      <c r="Y235" s="37"/>
      <c r="Z235" s="37"/>
      <c r="AA235" s="37"/>
      <c r="AB235" s="580" t="str">
        <f>"Non-clinical  decision, based on threshold chances of "&amp;$F$44&amp;"% for substantial magnitudes"</f>
        <v>Non-clinical  decision, based on threshold chances of 50% for substantial magnitudes</v>
      </c>
      <c r="AC235" s="581"/>
      <c r="AD235" s="403" t="e">
        <f>IF(MIN(AD229,AD233)&gt;$F$44,"unclear; get more data",IF(AD229&gt;25,AD230&amp;" &gt;",IF(AD233&gt;25,AD234&amp;" &lt;",AD232&amp;" trivial")))</f>
        <v>#VALUE!</v>
      </c>
      <c r="AE235" s="403" t="e">
        <f t="shared" ref="AE235:AG235" si="171">IF(MIN(AE229,AE233)&gt;$F$44,"unclear; get more data",IF(AE229&gt;25,AE230&amp;" &gt;",IF(AE233&gt;25,AE234&amp;" &lt;",AE232&amp;" trivial")))</f>
        <v>#VALUE!</v>
      </c>
      <c r="AF235" s="403" t="e">
        <f t="shared" si="171"/>
        <v>#VALUE!</v>
      </c>
      <c r="AG235" s="403" t="e">
        <f t="shared" si="171"/>
        <v>#VALUE!</v>
      </c>
      <c r="AH235" s="22"/>
      <c r="AI235" s="22"/>
      <c r="AJ235" s="22"/>
      <c r="AK235" s="22"/>
      <c r="AL235" s="22"/>
    </row>
    <row r="236" spans="1:38" ht="14.45" customHeight="1" x14ac:dyDescent="0.2">
      <c r="A236" s="19"/>
      <c r="B236" s="19"/>
      <c r="C236" s="19"/>
      <c r="D236" s="19"/>
      <c r="E236" s="19"/>
      <c r="F236" s="19"/>
      <c r="G236" s="19"/>
      <c r="H236" s="19"/>
      <c r="I236" s="19"/>
      <c r="J236" s="19"/>
      <c r="K236" s="201"/>
      <c r="L236" s="384" t="str">
        <f>IF($C$36&amp;$C$39="","","Threshold ratios are derived from the smallest important "&amp;IF(ISBLANK($C$39),"raw","stdized")&amp;" effect.")</f>
        <v/>
      </c>
      <c r="M236" s="385"/>
      <c r="N236" s="385"/>
      <c r="O236" s="385"/>
      <c r="P236" s="385"/>
      <c r="Q236" s="19"/>
      <c r="R236" s="19"/>
      <c r="S236" s="37"/>
      <c r="T236" s="37"/>
      <c r="U236" s="37"/>
      <c r="V236" s="37"/>
      <c r="W236" s="37"/>
      <c r="X236" s="37"/>
      <c r="Y236" s="37"/>
      <c r="Z236" s="37"/>
      <c r="AA236" s="37"/>
      <c r="AB236" s="201"/>
      <c r="AC236" s="384" t="str">
        <f>IF($C$39&amp;$C$38&amp;$C$37="","","Threshold ratios are derived from the smallest important "&amp;IF(ISBLANK($C$39),"percent or factor","stdized")&amp;" effect.")</f>
        <v/>
      </c>
      <c r="AD236" s="385"/>
      <c r="AE236" s="385"/>
      <c r="AF236" s="385"/>
      <c r="AG236" s="385"/>
      <c r="AH236" s="19"/>
      <c r="AI236" s="19"/>
      <c r="AJ236" s="19"/>
      <c r="AK236" s="19"/>
      <c r="AL236" s="19"/>
    </row>
    <row r="237" spans="1:38" x14ac:dyDescent="0.2">
      <c r="A237" s="19"/>
      <c r="B237" s="19"/>
      <c r="C237" s="19"/>
      <c r="D237" s="19"/>
      <c r="E237" s="19"/>
      <c r="F237" s="19"/>
      <c r="G237" s="19"/>
      <c r="H237" s="19"/>
      <c r="I237" s="19"/>
      <c r="J237" s="19"/>
      <c r="K237" s="19"/>
      <c r="L237" s="384" t="str">
        <f>IF(AND($C$36&lt;&gt;0,$C$39&lt;&gt;0),"For threshold ratios derived from smallest important raw effect, clear Cell C41.","")</f>
        <v/>
      </c>
      <c r="M237" s="385"/>
      <c r="N237" s="385"/>
      <c r="O237" s="385"/>
      <c r="P237" s="385"/>
      <c r="Q237" s="19"/>
      <c r="R237" s="19"/>
      <c r="S237" s="37"/>
      <c r="T237" s="37"/>
      <c r="U237" s="37"/>
      <c r="V237" s="37"/>
      <c r="W237" s="37"/>
      <c r="X237" s="37"/>
      <c r="Y237" s="37"/>
      <c r="Z237" s="37"/>
      <c r="AA237" s="37"/>
      <c r="AB237" s="19"/>
      <c r="AC237" s="384" t="str">
        <f>IF(AND($C$39&lt;&gt;0,OR($C$38&lt;&gt;0,$C$37&lt;&gt;0)),"For threshold ratios derived from smallest important factor or percent effect, clear Cell C41.","")</f>
        <v/>
      </c>
      <c r="AD237" s="385"/>
      <c r="AE237" s="385"/>
      <c r="AF237" s="385"/>
      <c r="AG237" s="385"/>
      <c r="AH237" s="19"/>
      <c r="AI237" s="48"/>
      <c r="AJ237" s="34"/>
      <c r="AK237" s="34"/>
      <c r="AL237" s="19"/>
    </row>
    <row r="238" spans="1:38" s="14" customFormat="1" ht="20.65" customHeight="1" x14ac:dyDescent="0.2">
      <c r="A238" s="19"/>
      <c r="B238" s="19"/>
      <c r="C238" s="19"/>
      <c r="D238" s="19"/>
      <c r="E238" s="19"/>
      <c r="F238" s="19"/>
      <c r="G238" s="19"/>
      <c r="H238" s="19"/>
      <c r="I238" s="19"/>
      <c r="J238" s="19"/>
      <c r="K238" s="19"/>
      <c r="L238" s="19"/>
      <c r="M238" s="387" t="str">
        <f>CONCATENATE($B$52," data only")</f>
        <v>Control data only</v>
      </c>
      <c r="N238" s="19"/>
      <c r="O238" s="19"/>
      <c r="P238" s="19"/>
      <c r="Q238" s="52"/>
      <c r="R238" s="52"/>
      <c r="S238" s="19"/>
      <c r="T238" s="19"/>
      <c r="U238" s="19"/>
      <c r="V238" s="19"/>
      <c r="W238" s="19"/>
      <c r="X238" s="19"/>
      <c r="Y238" s="19"/>
      <c r="Z238" s="19"/>
      <c r="AA238" s="19"/>
      <c r="AB238" s="19"/>
      <c r="AC238" s="19"/>
      <c r="AD238" s="51" t="str">
        <f>CONCATENATE($B$52," data only")</f>
        <v>Control data only</v>
      </c>
      <c r="AE238" s="19"/>
      <c r="AF238" s="19"/>
      <c r="AG238" s="19"/>
      <c r="AH238" s="52"/>
      <c r="AI238" s="52"/>
      <c r="AJ238" s="52"/>
      <c r="AK238" s="52"/>
      <c r="AL238" s="52"/>
    </row>
    <row r="239" spans="1:38" ht="16.5" x14ac:dyDescent="0.2">
      <c r="A239" s="52"/>
      <c r="B239" s="198"/>
      <c r="C239" s="194"/>
      <c r="D239" s="194"/>
      <c r="E239" s="194"/>
      <c r="F239" s="213"/>
      <c r="G239" s="213"/>
      <c r="H239" s="213"/>
      <c r="I239" s="213"/>
      <c r="J239" s="213"/>
      <c r="K239" s="51" t="s">
        <v>3</v>
      </c>
      <c r="L239" s="51"/>
      <c r="M239" s="565" t="s">
        <v>100</v>
      </c>
      <c r="N239" s="565"/>
      <c r="O239" s="565" t="s">
        <v>101</v>
      </c>
      <c r="P239" s="565"/>
      <c r="Q239" s="19"/>
      <c r="R239" s="19"/>
      <c r="S239" s="19"/>
      <c r="T239" s="19"/>
      <c r="U239" s="19"/>
      <c r="V239" s="19"/>
      <c r="W239" s="19"/>
      <c r="X239" s="19"/>
      <c r="Y239" s="19"/>
      <c r="Z239" s="19"/>
      <c r="AA239" s="19"/>
      <c r="AB239" s="155" t="s">
        <v>4</v>
      </c>
      <c r="AC239" s="51"/>
      <c r="AD239" s="660" t="s">
        <v>100</v>
      </c>
      <c r="AE239" s="651"/>
      <c r="AF239" s="660" t="s">
        <v>101</v>
      </c>
      <c r="AG239" s="651"/>
      <c r="AH239" s="19"/>
      <c r="AI239" s="19"/>
      <c r="AJ239" s="19"/>
      <c r="AK239" s="19"/>
      <c r="AL239" s="19"/>
    </row>
    <row r="240" spans="1:38" ht="30" customHeight="1" x14ac:dyDescent="0.2">
      <c r="A240" s="19"/>
      <c r="B240" s="37"/>
      <c r="C240" s="37"/>
      <c r="D240" s="37"/>
      <c r="E240" s="37"/>
      <c r="F240" s="37"/>
      <c r="G240" s="37"/>
      <c r="H240" s="37"/>
      <c r="I240" s="37"/>
      <c r="J240" s="37"/>
      <c r="K240" s="611" t="str">
        <f>"Error of measurement for "&amp;$B$52&amp;" group"</f>
        <v>Error of measurement for Control group</v>
      </c>
      <c r="L240" s="612"/>
      <c r="M240" s="184" t="str">
        <f>M50</f>
        <v>Custom effect, not adjusted</v>
      </c>
      <c r="N240" s="184" t="str">
        <f>N50</f>
        <v>Custom effect, not adjusted</v>
      </c>
      <c r="O240" s="184" t="str">
        <f>O50</f>
        <v>Custom effect, adjusted</v>
      </c>
      <c r="P240" s="184" t="str">
        <f>P50</f>
        <v>Custom effect, adjusted</v>
      </c>
      <c r="Q240" s="19"/>
      <c r="R240" s="19"/>
      <c r="S240" s="37"/>
      <c r="T240" s="37"/>
      <c r="U240" s="37"/>
      <c r="V240" s="37"/>
      <c r="W240" s="37"/>
      <c r="X240" s="37"/>
      <c r="Y240" s="37"/>
      <c r="Z240" s="37"/>
      <c r="AA240" s="37"/>
      <c r="AB240" s="611" t="str">
        <f>"Error of measurement for "&amp;$B$52&amp;" group"</f>
        <v>Error of measurement for Control group</v>
      </c>
      <c r="AC240" s="612"/>
      <c r="AD240" s="184" t="str">
        <f>AD50</f>
        <v>Custom effect, not adjusted</v>
      </c>
      <c r="AE240" s="184" t="str">
        <f>AE50</f>
        <v>Custom effect, not adjusted</v>
      </c>
      <c r="AF240" s="184" t="str">
        <f>AF50</f>
        <v>Custom effect, adjusted</v>
      </c>
      <c r="AG240" s="184" t="str">
        <f>AG50</f>
        <v>Custom effect, adjusted</v>
      </c>
      <c r="AH240" s="19"/>
      <c r="AI240" s="19"/>
      <c r="AJ240" s="19"/>
      <c r="AK240" s="19"/>
      <c r="AL240" s="19"/>
    </row>
    <row r="241" spans="1:38" x14ac:dyDescent="0.2">
      <c r="A241" s="19"/>
      <c r="B241" s="19"/>
      <c r="C241" s="19"/>
      <c r="D241" s="19"/>
      <c r="E241" s="19"/>
      <c r="F241" s="19"/>
      <c r="G241" s="19"/>
      <c r="H241" s="19"/>
      <c r="I241" s="19"/>
      <c r="J241" s="19"/>
      <c r="K241" s="151"/>
      <c r="L241" s="152" t="s">
        <v>240</v>
      </c>
      <c r="M241" s="186">
        <f>$F$42</f>
        <v>0</v>
      </c>
      <c r="N241" s="186">
        <f>$F$42</f>
        <v>0</v>
      </c>
      <c r="O241" s="186">
        <f>$F$42</f>
        <v>0</v>
      </c>
      <c r="P241" s="186">
        <f>$F$42</f>
        <v>0</v>
      </c>
      <c r="Q241" s="19"/>
      <c r="R241" s="19"/>
      <c r="S241" s="19"/>
      <c r="T241" s="19"/>
      <c r="U241" s="19"/>
      <c r="V241" s="19"/>
      <c r="W241" s="19"/>
      <c r="X241" s="19"/>
      <c r="Y241" s="19"/>
      <c r="Z241" s="19"/>
      <c r="AA241" s="19"/>
      <c r="AB241" s="153"/>
      <c r="AC241" s="152" t="s">
        <v>240</v>
      </c>
      <c r="AD241" s="186">
        <f>$F$42</f>
        <v>0</v>
      </c>
      <c r="AE241" s="186">
        <f>$F$42</f>
        <v>0</v>
      </c>
      <c r="AF241" s="186">
        <f>$F$42</f>
        <v>0</v>
      </c>
      <c r="AG241" s="186">
        <f>$F$42</f>
        <v>0</v>
      </c>
      <c r="AH241" s="19"/>
      <c r="AI241" s="19"/>
      <c r="AJ241" s="19"/>
      <c r="AK241" s="19"/>
      <c r="AL241" s="19"/>
    </row>
    <row r="242" spans="1:38" ht="12.95" customHeight="1" x14ac:dyDescent="0.2">
      <c r="A242" s="19"/>
      <c r="B242" s="19"/>
      <c r="C242" s="19"/>
      <c r="D242" s="19"/>
      <c r="E242" s="19"/>
      <c r="F242" s="19"/>
      <c r="G242" s="19"/>
      <c r="H242" s="19"/>
      <c r="I242" s="19"/>
      <c r="J242" s="19"/>
      <c r="K242" s="173"/>
      <c r="L242" s="174" t="s">
        <v>62</v>
      </c>
      <c r="M242" s="187">
        <f>M75</f>
        <v>19</v>
      </c>
      <c r="N242" s="187">
        <f>N75</f>
        <v>19</v>
      </c>
      <c r="O242" s="187">
        <f>O75</f>
        <v>17</v>
      </c>
      <c r="P242" s="187">
        <f>P75</f>
        <v>17</v>
      </c>
      <c r="Q242" s="19"/>
      <c r="R242" s="19"/>
      <c r="S242" s="19"/>
      <c r="T242" s="19"/>
      <c r="U242" s="19"/>
      <c r="V242" s="19"/>
      <c r="W242" s="19"/>
      <c r="X242" s="19"/>
      <c r="Y242" s="19"/>
      <c r="Z242" s="19"/>
      <c r="AA242" s="19"/>
      <c r="AB242" s="173"/>
      <c r="AC242" s="174" t="s">
        <v>62</v>
      </c>
      <c r="AD242" s="187">
        <f>AD75</f>
        <v>19</v>
      </c>
      <c r="AE242" s="187">
        <f>AE75</f>
        <v>19</v>
      </c>
      <c r="AF242" s="187">
        <f>AF75</f>
        <v>17</v>
      </c>
      <c r="AG242" s="187">
        <f>AG75</f>
        <v>17</v>
      </c>
      <c r="AH242" s="19"/>
      <c r="AI242" s="19"/>
      <c r="AJ242" s="19"/>
      <c r="AK242" s="19"/>
      <c r="AL242" s="19"/>
    </row>
    <row r="243" spans="1:38" x14ac:dyDescent="0.2">
      <c r="A243" s="19"/>
      <c r="B243" s="19"/>
      <c r="C243" s="19"/>
      <c r="D243" s="19"/>
      <c r="E243" s="19"/>
      <c r="F243" s="19"/>
      <c r="G243" s="19"/>
      <c r="H243" s="19"/>
      <c r="I243" s="19"/>
      <c r="J243" s="19"/>
      <c r="K243" s="204" t="s">
        <v>35</v>
      </c>
      <c r="L243" s="202"/>
      <c r="M243" s="202"/>
      <c r="N243" s="202"/>
      <c r="O243" s="202"/>
      <c r="P243" s="202"/>
      <c r="Q243" s="19"/>
      <c r="R243" s="19"/>
      <c r="S243" s="19"/>
      <c r="T243" s="19"/>
      <c r="U243" s="19"/>
      <c r="V243" s="19"/>
      <c r="W243" s="19"/>
      <c r="X243" s="19"/>
      <c r="Y243" s="19"/>
      <c r="Z243" s="19"/>
      <c r="AA243" s="19"/>
      <c r="AB243" s="204" t="s">
        <v>30</v>
      </c>
      <c r="AC243" s="202"/>
      <c r="AD243" s="202"/>
      <c r="AE243" s="202"/>
      <c r="AF243" s="202"/>
      <c r="AG243" s="209"/>
      <c r="AH243" s="19"/>
      <c r="AI243" s="19"/>
      <c r="AJ243" s="19"/>
      <c r="AK243" s="19"/>
      <c r="AL243" s="19"/>
    </row>
    <row r="244" spans="1:38" x14ac:dyDescent="0.2">
      <c r="A244" s="19"/>
      <c r="B244" s="19"/>
      <c r="C244" s="19"/>
      <c r="D244" s="19"/>
      <c r="E244" s="19"/>
      <c r="F244" s="19"/>
      <c r="G244" s="19"/>
      <c r="H244" s="19"/>
      <c r="I244" s="19"/>
      <c r="J244" s="19"/>
      <c r="K244" s="173"/>
      <c r="L244" s="185" t="s">
        <v>63</v>
      </c>
      <c r="M244" s="203">
        <f>M73/SQRT(2)</f>
        <v>3.8662524354647139</v>
      </c>
      <c r="N244" s="203">
        <f>N73/SQRT(2)</f>
        <v>3.8662524354647139</v>
      </c>
      <c r="O244" s="203">
        <f>O73/SQRT(2)</f>
        <v>3.8325616071644411</v>
      </c>
      <c r="P244" s="203">
        <f>P73/SQRT(2)</f>
        <v>3.8325616071644411</v>
      </c>
      <c r="Q244" s="19"/>
      <c r="R244" s="19"/>
      <c r="S244" s="19"/>
      <c r="T244" s="19"/>
      <c r="U244" s="19"/>
      <c r="V244" s="19"/>
      <c r="W244" s="19"/>
      <c r="X244" s="19"/>
      <c r="Y244" s="19"/>
      <c r="Z244" s="19"/>
      <c r="AA244" s="19"/>
      <c r="AB244" s="173"/>
      <c r="AC244" s="185" t="s">
        <v>31</v>
      </c>
      <c r="AD244" s="211">
        <f t="shared" ref="AD244:AG246" si="172">100*EXP(AD256/100)-100</f>
        <v>0.96359854322878391</v>
      </c>
      <c r="AE244" s="211">
        <f t="shared" si="172"/>
        <v>0.96359854322878391</v>
      </c>
      <c r="AF244" s="211">
        <f t="shared" si="172"/>
        <v>0.95453636691611621</v>
      </c>
      <c r="AG244" s="211">
        <f t="shared" si="172"/>
        <v>0.95453636691611621</v>
      </c>
      <c r="AH244" s="19"/>
      <c r="AI244" s="19"/>
      <c r="AJ244" s="19"/>
      <c r="AK244" s="19"/>
      <c r="AL244" s="19"/>
    </row>
    <row r="245" spans="1:38" ht="12.95" customHeight="1" x14ac:dyDescent="0.2">
      <c r="A245" s="19"/>
      <c r="B245" s="19"/>
      <c r="C245" s="19"/>
      <c r="D245" s="19"/>
      <c r="E245" s="19"/>
      <c r="F245" s="19"/>
      <c r="G245" s="19"/>
      <c r="H245" s="19"/>
      <c r="I245" s="19"/>
      <c r="J245" s="19"/>
      <c r="K245" s="637" t="s">
        <v>243</v>
      </c>
      <c r="L245" s="178" t="s">
        <v>8</v>
      </c>
      <c r="M245" s="190">
        <f>SQRT(M242*M244^2/CHIINV((100-M241)/100/2,M242))</f>
        <v>3.9354566516823279</v>
      </c>
      <c r="N245" s="190">
        <f>SQRT(N242*N244^2/CHIINV((100-N241)/100/2,N242))</f>
        <v>3.9354566516823279</v>
      </c>
      <c r="O245" s="190">
        <f>SQRT(O242*O244^2/CHIINV((100-O241)/100/2,O242))</f>
        <v>3.9094146455753518</v>
      </c>
      <c r="P245" s="190">
        <f>SQRT(P242*P244^2/CHIINV((100-P241)/100/2,P242))</f>
        <v>3.9094146455753518</v>
      </c>
      <c r="Q245" s="19"/>
      <c r="R245" s="19"/>
      <c r="S245" s="19"/>
      <c r="T245" s="19"/>
      <c r="U245" s="19"/>
      <c r="V245" s="19"/>
      <c r="W245" s="19"/>
      <c r="X245" s="19"/>
      <c r="Y245" s="19"/>
      <c r="Z245" s="19"/>
      <c r="AA245" s="19"/>
      <c r="AB245" s="640" t="s">
        <v>243</v>
      </c>
      <c r="AC245" s="205" t="s">
        <v>8</v>
      </c>
      <c r="AD245" s="179">
        <f t="shared" si="172"/>
        <v>0.98093085545112046</v>
      </c>
      <c r="AE245" s="179">
        <f t="shared" si="172"/>
        <v>0.98093085545112046</v>
      </c>
      <c r="AF245" s="179">
        <f t="shared" si="172"/>
        <v>0.97377025260010441</v>
      </c>
      <c r="AG245" s="179">
        <f t="shared" si="172"/>
        <v>0.97377025260010441</v>
      </c>
      <c r="AH245" s="19"/>
      <c r="AI245" s="19"/>
      <c r="AJ245" s="19"/>
      <c r="AK245" s="19"/>
      <c r="AL245" s="19"/>
    </row>
    <row r="246" spans="1:38" ht="12.95" customHeight="1" x14ac:dyDescent="0.2">
      <c r="A246" s="19"/>
      <c r="B246" s="19"/>
      <c r="C246" s="19"/>
      <c r="D246" s="19"/>
      <c r="E246" s="19"/>
      <c r="F246" s="19"/>
      <c r="G246" s="19"/>
      <c r="H246" s="19"/>
      <c r="I246" s="19"/>
      <c r="J246" s="19"/>
      <c r="K246" s="638"/>
      <c r="L246" s="180" t="s">
        <v>9</v>
      </c>
      <c r="M246" s="191">
        <f>SQRT(M242*M244^2/CHIINV(1-(100-M241)/100/2,M242))</f>
        <v>3.9354566516823279</v>
      </c>
      <c r="N246" s="191">
        <f>SQRT(N242*N244^2/CHIINV(1-(100-N241)/100/2,N242))</f>
        <v>3.9354566516823279</v>
      </c>
      <c r="O246" s="191">
        <f>SQRT(O242*O244^2/CHIINV(1-(100-O241)/100/2,O242))</f>
        <v>3.9094146455753518</v>
      </c>
      <c r="P246" s="191">
        <f>SQRT(P242*P244^2/CHIINV(1-(100-P241)/100/2,P242))</f>
        <v>3.9094146455753518</v>
      </c>
      <c r="Q246" s="19"/>
      <c r="R246" s="19"/>
      <c r="S246" s="19"/>
      <c r="T246" s="19"/>
      <c r="U246" s="19"/>
      <c r="V246" s="19"/>
      <c r="W246" s="19"/>
      <c r="X246" s="19"/>
      <c r="Y246" s="19"/>
      <c r="Z246" s="19"/>
      <c r="AA246" s="19"/>
      <c r="AB246" s="641"/>
      <c r="AC246" s="205" t="s">
        <v>9</v>
      </c>
      <c r="AD246" s="181">
        <f t="shared" si="172"/>
        <v>0.98093085545112046</v>
      </c>
      <c r="AE246" s="181">
        <f t="shared" si="172"/>
        <v>0.98093085545112046</v>
      </c>
      <c r="AF246" s="181">
        <f t="shared" si="172"/>
        <v>0.97377025260010441</v>
      </c>
      <c r="AG246" s="181">
        <f t="shared" si="172"/>
        <v>0.97377025260010441</v>
      </c>
      <c r="AH246" s="19"/>
      <c r="AI246" s="19"/>
      <c r="AJ246" s="19"/>
      <c r="AK246" s="19"/>
      <c r="AL246" s="19"/>
    </row>
    <row r="247" spans="1:38" ht="12.95" customHeight="1" x14ac:dyDescent="0.25">
      <c r="A247" s="19"/>
      <c r="B247" s="19"/>
      <c r="C247" s="19"/>
      <c r="D247" s="19"/>
      <c r="E247" s="19"/>
      <c r="F247" s="19"/>
      <c r="G247" s="19"/>
      <c r="H247" s="19"/>
      <c r="I247" s="19"/>
      <c r="J247" s="19"/>
      <c r="K247" s="639"/>
      <c r="L247" s="146" t="s">
        <v>17</v>
      </c>
      <c r="M247" s="192">
        <f>SQRT(M246/M245)</f>
        <v>1</v>
      </c>
      <c r="N247" s="192">
        <f>SQRT(N246/N245)</f>
        <v>1</v>
      </c>
      <c r="O247" s="192">
        <f>SQRT(O246/O245)</f>
        <v>1</v>
      </c>
      <c r="P247" s="192">
        <f>SQRT(P246/P245)</f>
        <v>1</v>
      </c>
      <c r="Q247" s="19"/>
      <c r="R247" s="19"/>
      <c r="S247" s="19"/>
      <c r="T247" s="19"/>
      <c r="U247" s="19"/>
      <c r="V247" s="19"/>
      <c r="W247" s="19"/>
      <c r="X247" s="19"/>
      <c r="Y247" s="19"/>
      <c r="Z247" s="19"/>
      <c r="AA247" s="19"/>
      <c r="AB247" s="642"/>
      <c r="AC247" s="146" t="s">
        <v>32</v>
      </c>
      <c r="AD247" s="192">
        <f>SQRT(AD246/AD245)</f>
        <v>1</v>
      </c>
      <c r="AE247" s="192">
        <f>SQRT(AE246/AE245)</f>
        <v>1</v>
      </c>
      <c r="AF247" s="192">
        <f>SQRT(AF246/AF245)</f>
        <v>1</v>
      </c>
      <c r="AG247" s="192">
        <f>SQRT(AG246/AG245)</f>
        <v>1</v>
      </c>
      <c r="AH247" s="19"/>
      <c r="AI247" s="19"/>
      <c r="AJ247" s="19"/>
      <c r="AK247" s="19"/>
      <c r="AL247" s="19"/>
    </row>
    <row r="248" spans="1:38" ht="12.95" customHeight="1" x14ac:dyDescent="0.2">
      <c r="A248" s="19"/>
      <c r="B248" s="19"/>
      <c r="C248" s="19"/>
      <c r="D248" s="19"/>
      <c r="E248" s="19"/>
      <c r="F248" s="19"/>
      <c r="G248" s="19"/>
      <c r="H248" s="19"/>
      <c r="I248" s="19"/>
      <c r="J248" s="19"/>
      <c r="K248" s="204" t="s">
        <v>146</v>
      </c>
      <c r="L248" s="202"/>
      <c r="M248" s="202"/>
      <c r="N248" s="202"/>
      <c r="O248" s="202"/>
      <c r="P248" s="202"/>
      <c r="Q248" s="19"/>
      <c r="R248" s="19"/>
      <c r="S248" s="19"/>
      <c r="T248" s="19"/>
      <c r="U248" s="19"/>
      <c r="V248" s="19"/>
      <c r="W248" s="19"/>
      <c r="X248" s="19"/>
      <c r="Y248" s="19"/>
      <c r="Z248" s="19"/>
      <c r="AA248" s="19"/>
      <c r="AB248" s="204" t="s">
        <v>33</v>
      </c>
      <c r="AC248" s="202"/>
      <c r="AD248" s="202"/>
      <c r="AE248" s="202"/>
      <c r="AF248" s="202"/>
      <c r="AG248" s="209"/>
      <c r="AH248" s="19"/>
      <c r="AI248" s="19"/>
      <c r="AJ248" s="19"/>
      <c r="AK248" s="19"/>
      <c r="AL248" s="19"/>
    </row>
    <row r="249" spans="1:38" ht="12.95" customHeight="1" x14ac:dyDescent="0.2">
      <c r="A249" s="19"/>
      <c r="B249" s="19"/>
      <c r="C249" s="19"/>
      <c r="D249" s="19"/>
      <c r="E249" s="19"/>
      <c r="F249" s="19"/>
      <c r="G249" s="19"/>
      <c r="H249" s="19"/>
      <c r="I249" s="19"/>
      <c r="J249" s="19"/>
      <c r="K249" s="173"/>
      <c r="L249" s="176" t="s">
        <v>147</v>
      </c>
      <c r="M249" s="203">
        <f>M244/M215</f>
        <v>0.59336536058499512</v>
      </c>
      <c r="N249" s="203">
        <f>N244/N215</f>
        <v>0.59336536058499512</v>
      </c>
      <c r="O249" s="203">
        <f>O244/O215</f>
        <v>0.58819472808841422</v>
      </c>
      <c r="P249" s="203">
        <f>P244/P215</f>
        <v>0.58819472808841422</v>
      </c>
      <c r="Q249" s="19"/>
      <c r="R249" s="19"/>
      <c r="S249" s="19"/>
      <c r="T249" s="19"/>
      <c r="U249" s="19"/>
      <c r="V249" s="19"/>
      <c r="W249" s="19"/>
      <c r="X249" s="19"/>
      <c r="Y249" s="19"/>
      <c r="Z249" s="19"/>
      <c r="AA249" s="19"/>
      <c r="AB249" s="173"/>
      <c r="AC249" s="185" t="s">
        <v>34</v>
      </c>
      <c r="AD249" s="192">
        <f t="shared" ref="AD249:AG251" si="173">EXP(AD256/100)</f>
        <v>1.0096359854322878</v>
      </c>
      <c r="AE249" s="192">
        <f t="shared" si="173"/>
        <v>1.0096359854322878</v>
      </c>
      <c r="AF249" s="192">
        <f t="shared" si="173"/>
        <v>1.0095453636691611</v>
      </c>
      <c r="AG249" s="192">
        <f t="shared" si="173"/>
        <v>1.0095453636691611</v>
      </c>
      <c r="AH249" s="19"/>
      <c r="AI249" s="19"/>
      <c r="AJ249" s="19"/>
      <c r="AK249" s="19"/>
      <c r="AL249" s="19"/>
    </row>
    <row r="250" spans="1:38" ht="12.95" customHeight="1" x14ac:dyDescent="0.2">
      <c r="A250" s="19"/>
      <c r="B250" s="19"/>
      <c r="C250" s="19"/>
      <c r="D250" s="19"/>
      <c r="E250" s="19"/>
      <c r="F250" s="19"/>
      <c r="G250" s="19"/>
      <c r="H250" s="19"/>
      <c r="I250" s="19"/>
      <c r="J250" s="19"/>
      <c r="K250" s="637" t="s">
        <v>243</v>
      </c>
      <c r="L250" s="178" t="s">
        <v>8</v>
      </c>
      <c r="M250" s="190">
        <f>SQRT(M242*M249^2/CHIINV((100-M241)/100/2,M242))</f>
        <v>0.60398633927052958</v>
      </c>
      <c r="N250" s="190">
        <f>SQRT(N242*N249^2/CHIINV((100-N241)/100/2,N242))</f>
        <v>0.60398633927052958</v>
      </c>
      <c r="O250" s="190">
        <f>SQRT(O242*O249^2/CHIINV((100-O241)/100/2,O242))</f>
        <v>0.59998959446352229</v>
      </c>
      <c r="P250" s="190">
        <f>SQRT(P242*P249^2/CHIINV((100-P241)/100/2,P242))</f>
        <v>0.59998959446352229</v>
      </c>
      <c r="Q250" s="19"/>
      <c r="R250" s="19"/>
      <c r="S250" s="19"/>
      <c r="T250" s="19"/>
      <c r="U250" s="19"/>
      <c r="V250" s="19"/>
      <c r="W250" s="19"/>
      <c r="X250" s="19"/>
      <c r="Y250" s="19"/>
      <c r="Z250" s="19"/>
      <c r="AA250" s="19"/>
      <c r="AB250" s="637" t="s">
        <v>243</v>
      </c>
      <c r="AC250" s="205" t="s">
        <v>8</v>
      </c>
      <c r="AD250" s="190">
        <f t="shared" si="173"/>
        <v>1.0098093085545112</v>
      </c>
      <c r="AE250" s="190">
        <f t="shared" si="173"/>
        <v>1.0098093085545112</v>
      </c>
      <c r="AF250" s="190">
        <f t="shared" si="173"/>
        <v>1.009737702526001</v>
      </c>
      <c r="AG250" s="190">
        <f t="shared" si="173"/>
        <v>1.009737702526001</v>
      </c>
      <c r="AH250" s="19"/>
      <c r="AI250" s="19"/>
      <c r="AJ250" s="19"/>
      <c r="AK250" s="19"/>
      <c r="AL250" s="19"/>
    </row>
    <row r="251" spans="1:38" ht="12.95" customHeight="1" x14ac:dyDescent="0.2">
      <c r="A251" s="19"/>
      <c r="B251" s="19"/>
      <c r="C251" s="19"/>
      <c r="D251" s="19"/>
      <c r="E251" s="19"/>
      <c r="F251" s="19"/>
      <c r="G251" s="19"/>
      <c r="H251" s="19"/>
      <c r="I251" s="19"/>
      <c r="J251" s="19"/>
      <c r="K251" s="638"/>
      <c r="L251" s="180" t="s">
        <v>9</v>
      </c>
      <c r="M251" s="191">
        <f>SQRT(M242*M249^2/CHIINV(1-(100-M241)/100/2,M242))</f>
        <v>0.60398633927052958</v>
      </c>
      <c r="N251" s="191">
        <f>SQRT(N242*N249^2/CHIINV(1-(100-N241)/100/2,N242))</f>
        <v>0.60398633927052958</v>
      </c>
      <c r="O251" s="191">
        <f>SQRT(O242*O249^2/CHIINV(1-(100-O241)/100/2,O242))</f>
        <v>0.59998959446352229</v>
      </c>
      <c r="P251" s="191">
        <f>SQRT(P242*P249^2/CHIINV(1-(100-P241)/100/2,P242))</f>
        <v>0.59998959446352229</v>
      </c>
      <c r="Q251" s="19"/>
      <c r="R251" s="19"/>
      <c r="S251" s="19"/>
      <c r="T251" s="19"/>
      <c r="U251" s="19"/>
      <c r="V251" s="19"/>
      <c r="W251" s="19"/>
      <c r="X251" s="19"/>
      <c r="Y251" s="19"/>
      <c r="Z251" s="19"/>
      <c r="AA251" s="19"/>
      <c r="AB251" s="638"/>
      <c r="AC251" s="205" t="s">
        <v>9</v>
      </c>
      <c r="AD251" s="191">
        <f t="shared" si="173"/>
        <v>1.0098093085545112</v>
      </c>
      <c r="AE251" s="191">
        <f t="shared" si="173"/>
        <v>1.0098093085545112</v>
      </c>
      <c r="AF251" s="191">
        <f t="shared" si="173"/>
        <v>1.009737702526001</v>
      </c>
      <c r="AG251" s="191">
        <f t="shared" si="173"/>
        <v>1.009737702526001</v>
      </c>
      <c r="AH251" s="19"/>
      <c r="AI251" s="19"/>
      <c r="AJ251" s="19"/>
      <c r="AK251" s="19"/>
      <c r="AL251" s="19"/>
    </row>
    <row r="252" spans="1:38" ht="12.95" customHeight="1" x14ac:dyDescent="0.25">
      <c r="A252" s="19"/>
      <c r="B252" s="19"/>
      <c r="C252" s="19"/>
      <c r="D252" s="19"/>
      <c r="E252" s="19"/>
      <c r="F252" s="19"/>
      <c r="G252" s="19"/>
      <c r="H252" s="19"/>
      <c r="I252" s="19"/>
      <c r="J252" s="19"/>
      <c r="K252" s="639"/>
      <c r="L252" s="146" t="s">
        <v>17</v>
      </c>
      <c r="M252" s="192">
        <f>SQRT(M251/M250)</f>
        <v>1</v>
      </c>
      <c r="N252" s="192">
        <f>SQRT(N251/N250)</f>
        <v>1</v>
      </c>
      <c r="O252" s="192">
        <f>SQRT(O251/O250)</f>
        <v>1</v>
      </c>
      <c r="P252" s="192">
        <f>SQRT(P251/P250)</f>
        <v>1</v>
      </c>
      <c r="Q252" s="19"/>
      <c r="R252" s="19"/>
      <c r="S252" s="19"/>
      <c r="T252" s="19"/>
      <c r="U252" s="19"/>
      <c r="V252" s="19"/>
      <c r="W252" s="19"/>
      <c r="X252" s="19"/>
      <c r="Y252" s="19"/>
      <c r="Z252" s="19"/>
      <c r="AA252" s="19"/>
      <c r="AB252" s="639"/>
      <c r="AC252" s="146" t="s">
        <v>17</v>
      </c>
      <c r="AD252" s="192">
        <f>SQRT(AD251/AD250)</f>
        <v>1</v>
      </c>
      <c r="AE252" s="192">
        <f>SQRT(AE251/AE250)</f>
        <v>1</v>
      </c>
      <c r="AF252" s="192">
        <f>SQRT(AF251/AF250)</f>
        <v>1</v>
      </c>
      <c r="AG252" s="192">
        <f>SQRT(AG251/AG250)</f>
        <v>1</v>
      </c>
      <c r="AH252" s="19"/>
      <c r="AI252" s="19"/>
      <c r="AJ252" s="19"/>
      <c r="AK252" s="19"/>
      <c r="AL252" s="19"/>
    </row>
    <row r="253" spans="1:38" ht="12.9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204" t="s">
        <v>146</v>
      </c>
      <c r="AC253" s="202"/>
      <c r="AD253" s="202"/>
      <c r="AE253" s="202"/>
      <c r="AF253" s="202"/>
      <c r="AG253" s="209"/>
      <c r="AH253" s="19"/>
      <c r="AI253" s="19"/>
      <c r="AJ253" s="19"/>
      <c r="AK253" s="19"/>
      <c r="AL253" s="19"/>
    </row>
    <row r="254" spans="1:38" ht="12.9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73"/>
      <c r="AC254" s="176" t="s">
        <v>147</v>
      </c>
      <c r="AD254" s="192">
        <f>AD256/AD215</f>
        <v>0.59055630485639621</v>
      </c>
      <c r="AE254" s="193">
        <f>AE256/AE215</f>
        <v>0.59055630485639621</v>
      </c>
      <c r="AF254" s="193">
        <f>AF256/AF215</f>
        <v>0.58502870715054256</v>
      </c>
      <c r="AG254" s="193">
        <f>AG256/AG215</f>
        <v>0.58502870715054256</v>
      </c>
      <c r="AH254" s="19"/>
      <c r="AI254" s="19"/>
      <c r="AJ254" s="19"/>
      <c r="AK254" s="19"/>
      <c r="AL254" s="19"/>
    </row>
    <row r="255" spans="1:38" ht="12.9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206" t="s">
        <v>29</v>
      </c>
      <c r="AC255" s="207"/>
      <c r="AD255" s="207"/>
      <c r="AE255" s="207"/>
      <c r="AF255" s="207"/>
      <c r="AG255" s="210"/>
      <c r="AH255" s="19"/>
      <c r="AI255" s="19"/>
      <c r="AJ255" s="19"/>
      <c r="AK255" s="19"/>
      <c r="AL255" s="19"/>
    </row>
    <row r="256" spans="1:38" ht="12"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208"/>
      <c r="AC256" s="154" t="s">
        <v>18</v>
      </c>
      <c r="AD256" s="212">
        <f>AD73/SQRT(2)</f>
        <v>0.95898554266263425</v>
      </c>
      <c r="AE256" s="212">
        <f>AE73/SQRT(2)</f>
        <v>0.95898554266263425</v>
      </c>
      <c r="AF256" s="212">
        <f>AF73/SQRT(2)</f>
        <v>0.9500094530976303</v>
      </c>
      <c r="AG256" s="212">
        <f>AG73/SQRT(2)</f>
        <v>0.9500094530976303</v>
      </c>
      <c r="AH256" s="19"/>
      <c r="AI256" s="19"/>
      <c r="AJ256" s="19"/>
      <c r="AK256" s="19"/>
      <c r="AL256" s="19"/>
    </row>
    <row r="257" spans="1:38" ht="12.9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621" t="s">
        <v>243</v>
      </c>
      <c r="AC257" s="156" t="s">
        <v>8</v>
      </c>
      <c r="AD257" s="157">
        <f>SQRT(AD242*AD256^2/CHIINV((100-AD241)/100/2,AD242))</f>
        <v>0.97615096161852655</v>
      </c>
      <c r="AE257" s="157">
        <f>SQRT(AE242*AE256^2/CHIINV((100-AE241)/100/2,AE242))</f>
        <v>0.97615096161852655</v>
      </c>
      <c r="AF257" s="157">
        <f>SQRT(AF242*AF256^2/CHIINV((100-AF241)/100/2,AF242))</f>
        <v>0.96905966558557988</v>
      </c>
      <c r="AG257" s="157">
        <f>SQRT(AG242*AG256^2/CHIINV((100-AG241)/100/2,AG242))</f>
        <v>0.96905966558557988</v>
      </c>
      <c r="AH257" s="19"/>
      <c r="AI257" s="19"/>
      <c r="AJ257" s="19"/>
      <c r="AK257" s="19"/>
      <c r="AL257" s="19"/>
    </row>
    <row r="258" spans="1:38"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622"/>
      <c r="AC258" s="158" t="s">
        <v>9</v>
      </c>
      <c r="AD258" s="159">
        <f>SQRT(AD242*AD256^2/CHIINV(1-(100-AD241)/100/2,AD242))</f>
        <v>0.97615096161852655</v>
      </c>
      <c r="AE258" s="159">
        <f>SQRT(AE242*AE256^2/CHIINV(1-(100-AE241)/100/2,AE242))</f>
        <v>0.97615096161852655</v>
      </c>
      <c r="AF258" s="159">
        <f>SQRT(AF242*AF256^2/CHIINV(1-(100-AF241)/100/2,AF242))</f>
        <v>0.96905966558557988</v>
      </c>
      <c r="AG258" s="159">
        <f>SQRT(AG242*AG256^2/CHIINV(1-(100-AG241)/100/2,AG242))</f>
        <v>0.96905966558557988</v>
      </c>
      <c r="AH258" s="19"/>
      <c r="AI258" s="19"/>
      <c r="AJ258" s="19"/>
      <c r="AK258" s="19"/>
      <c r="AL258" s="19"/>
    </row>
    <row r="259" spans="1:38" ht="25.5"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623"/>
      <c r="AC259" s="160" t="s">
        <v>53</v>
      </c>
      <c r="AD259" s="161">
        <f>SQRT(AD258/AD257)</f>
        <v>1</v>
      </c>
      <c r="AE259" s="161">
        <f>SQRT(AE258/AE257)</f>
        <v>1</v>
      </c>
      <c r="AF259" s="161">
        <f>SQRT(AF258/AF257)</f>
        <v>1</v>
      </c>
      <c r="AG259" s="161">
        <f>SQRT(AG258/AG257)</f>
        <v>1</v>
      </c>
      <c r="AH259" s="19"/>
      <c r="AI259" s="19"/>
      <c r="AJ259" s="19"/>
      <c r="AK259" s="19"/>
      <c r="AL259" s="19"/>
    </row>
    <row r="260" spans="1:38"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48"/>
      <c r="AJ260" s="34"/>
      <c r="AK260" s="34"/>
      <c r="AL260" s="19"/>
    </row>
    <row r="261" spans="1:38" s="14" customFormat="1" ht="42" customHeight="1" x14ac:dyDescent="0.2">
      <c r="A261" s="19"/>
      <c r="B261" s="19"/>
      <c r="C261" s="19"/>
      <c r="D261" s="19"/>
      <c r="E261" s="19"/>
      <c r="F261" s="19"/>
      <c r="G261" s="19"/>
      <c r="H261" s="19"/>
      <c r="I261" s="19"/>
      <c r="J261" s="19"/>
      <c r="K261" s="19"/>
      <c r="L261" s="19"/>
      <c r="M261" s="19"/>
      <c r="N261" s="19"/>
      <c r="O261" s="19"/>
      <c r="P261" s="19"/>
      <c r="Q261" s="52"/>
      <c r="R261" s="52"/>
      <c r="S261" s="19"/>
      <c r="T261" s="19"/>
      <c r="U261" s="19"/>
      <c r="V261" s="19"/>
      <c r="W261" s="19"/>
      <c r="X261" s="19"/>
      <c r="Y261" s="19"/>
      <c r="Z261" s="19"/>
      <c r="AA261" s="19"/>
      <c r="AB261" s="162"/>
      <c r="AC261" s="162"/>
      <c r="AD261" s="162" t="str">
        <f>CONCATENATE($B$85,"-",$B$52," change")</f>
        <v>Exptal-Control change</v>
      </c>
      <c r="AE261" s="162"/>
      <c r="AF261" s="162"/>
      <c r="AG261" s="162"/>
      <c r="AH261" s="52"/>
      <c r="AI261" s="52"/>
      <c r="AJ261" s="52"/>
      <c r="AK261" s="52"/>
      <c r="AL261" s="52"/>
    </row>
    <row r="262" spans="1:38" ht="16.5" x14ac:dyDescent="0.2">
      <c r="A262" s="52"/>
      <c r="B262" s="19"/>
      <c r="C262" s="19"/>
      <c r="D262" s="126"/>
      <c r="E262" s="19"/>
      <c r="F262" s="19"/>
      <c r="G262" s="19"/>
      <c r="H262" s="19"/>
      <c r="I262" s="19"/>
      <c r="J262" s="19"/>
      <c r="K262" s="51"/>
      <c r="L262" s="51"/>
      <c r="M262" s="51"/>
      <c r="N262" s="51"/>
      <c r="O262" s="51"/>
      <c r="P262" s="51"/>
      <c r="Q262" s="19"/>
      <c r="R262" s="19"/>
      <c r="S262" s="19"/>
      <c r="T262" s="19"/>
      <c r="U262" s="19"/>
      <c r="V262" s="19"/>
      <c r="W262" s="19"/>
      <c r="X262" s="19"/>
      <c r="Y262" s="19"/>
      <c r="Z262" s="19"/>
      <c r="AA262" s="19"/>
      <c r="AB262" s="162" t="s">
        <v>4</v>
      </c>
      <c r="AC262" s="162"/>
      <c r="AD262" s="659" t="s">
        <v>100</v>
      </c>
      <c r="AE262" s="659"/>
      <c r="AF262" s="659" t="s">
        <v>101</v>
      </c>
      <c r="AG262" s="659"/>
      <c r="AH262" s="19"/>
      <c r="AI262" s="19"/>
      <c r="AJ262" s="19"/>
      <c r="AK262" s="19"/>
      <c r="AL262" s="19"/>
    </row>
    <row r="263" spans="1:38" ht="22.5" customHeight="1" x14ac:dyDescent="0.25">
      <c r="A263" s="19"/>
      <c r="B263" s="19"/>
      <c r="C263" s="19"/>
      <c r="D263" s="19"/>
      <c r="E263" s="19"/>
      <c r="F263" s="19"/>
      <c r="G263" s="19"/>
      <c r="H263" s="19"/>
      <c r="I263" s="19"/>
      <c r="J263" s="19"/>
      <c r="K263" s="19"/>
      <c r="L263" s="19"/>
      <c r="M263" s="19"/>
      <c r="N263" s="19"/>
      <c r="O263" s="19"/>
      <c r="P263" s="19"/>
      <c r="Q263" s="19"/>
      <c r="R263" s="19"/>
      <c r="S263" s="162"/>
      <c r="T263" s="162"/>
      <c r="U263" s="162"/>
      <c r="V263" s="162"/>
      <c r="W263" s="162"/>
      <c r="X263" s="162"/>
      <c r="Y263" s="162"/>
      <c r="Z263" s="162"/>
      <c r="AA263" s="162"/>
      <c r="AB263" s="624" t="s">
        <v>209</v>
      </c>
      <c r="AC263" s="625"/>
      <c r="AD263" s="214" t="str">
        <f>AD50</f>
        <v>Custom effect, not adjusted</v>
      </c>
      <c r="AE263" s="214" t="str">
        <f>AE50</f>
        <v>Custom effect, not adjusted</v>
      </c>
      <c r="AF263" s="214" t="str">
        <f>AF50</f>
        <v>Custom effect, adjusted</v>
      </c>
      <c r="AG263" s="214" t="str">
        <f>AG50</f>
        <v>Custom effect, adjusted</v>
      </c>
      <c r="AH263" s="19"/>
      <c r="AI263" s="19"/>
      <c r="AJ263" s="19"/>
      <c r="AK263" s="19"/>
      <c r="AL263" s="19"/>
    </row>
    <row r="264" spans="1:38" ht="12.95" customHeight="1" x14ac:dyDescent="0.2">
      <c r="A264" s="19"/>
      <c r="B264" s="52"/>
      <c r="C264" s="52"/>
      <c r="D264" s="52"/>
      <c r="E264" s="52"/>
      <c r="F264" s="52"/>
      <c r="G264" s="52"/>
      <c r="H264" s="52"/>
      <c r="I264" s="52"/>
      <c r="J264" s="52"/>
      <c r="K264" s="52"/>
      <c r="L264" s="52"/>
      <c r="M264" s="52"/>
      <c r="N264" s="52"/>
      <c r="O264" s="52"/>
      <c r="P264" s="52"/>
      <c r="Q264" s="19"/>
      <c r="R264" s="19"/>
      <c r="S264" s="162"/>
      <c r="T264" s="162"/>
      <c r="U264" s="162"/>
      <c r="V264" s="162"/>
      <c r="W264" s="162"/>
      <c r="X264" s="162"/>
      <c r="Y264" s="162"/>
      <c r="Z264" s="162"/>
      <c r="AA264" s="162"/>
      <c r="AB264" s="215"/>
      <c r="AC264" s="216" t="s">
        <v>240</v>
      </c>
      <c r="AD264" s="217">
        <f>$F$42</f>
        <v>0</v>
      </c>
      <c r="AE264" s="217">
        <f>$F$42</f>
        <v>0</v>
      </c>
      <c r="AF264" s="217">
        <f>$F$42</f>
        <v>0</v>
      </c>
      <c r="AG264" s="217">
        <f>$F$42</f>
        <v>0</v>
      </c>
      <c r="AH264" s="19"/>
      <c r="AI264" s="19"/>
      <c r="AJ264" s="19"/>
      <c r="AK264" s="19"/>
      <c r="AL264" s="19"/>
    </row>
    <row r="265" spans="1:38" x14ac:dyDescent="0.2">
      <c r="A265" s="19"/>
      <c r="B265" s="19"/>
      <c r="C265" s="19"/>
      <c r="D265" s="19"/>
      <c r="E265" s="19"/>
      <c r="F265" s="19"/>
      <c r="G265" s="19"/>
      <c r="H265" s="19"/>
      <c r="I265" s="19"/>
      <c r="J265" s="19"/>
      <c r="K265" s="19"/>
      <c r="L265" s="19"/>
      <c r="M265" s="19"/>
      <c r="N265" s="19"/>
      <c r="O265" s="19"/>
      <c r="P265" s="19"/>
      <c r="Q265" s="19"/>
      <c r="R265" s="19"/>
      <c r="S265" s="37"/>
      <c r="T265" s="37"/>
      <c r="U265" s="37"/>
      <c r="V265" s="37"/>
      <c r="W265" s="37"/>
      <c r="X265" s="37"/>
      <c r="Y265" s="37"/>
      <c r="Z265" s="37"/>
      <c r="AA265" s="37"/>
      <c r="AB265" s="215"/>
      <c r="AC265" s="218" t="s">
        <v>62</v>
      </c>
      <c r="AD265" s="220">
        <f>AD138</f>
        <v>19</v>
      </c>
      <c r="AE265" s="219">
        <f>AE138</f>
        <v>19</v>
      </c>
      <c r="AF265" s="219">
        <f>AF138</f>
        <v>17</v>
      </c>
      <c r="AG265" s="219">
        <f>AG138</f>
        <v>17</v>
      </c>
      <c r="AH265" s="19"/>
      <c r="AI265" s="19"/>
      <c r="AJ265" s="19"/>
      <c r="AK265" s="19"/>
      <c r="AL265" s="19"/>
    </row>
    <row r="266" spans="1:38" x14ac:dyDescent="0.2">
      <c r="A266" s="19"/>
      <c r="B266" s="19"/>
      <c r="C266" s="19"/>
      <c r="D266" s="19"/>
      <c r="E266" s="19"/>
      <c r="F266" s="19"/>
      <c r="G266" s="19"/>
      <c r="H266" s="19"/>
      <c r="I266" s="19"/>
      <c r="J266" s="19"/>
      <c r="K266" s="19"/>
      <c r="L266" s="19"/>
      <c r="M266" s="19"/>
      <c r="N266" s="19"/>
      <c r="O266" s="19"/>
      <c r="P266" s="19"/>
      <c r="Q266" s="19"/>
      <c r="R266" s="19"/>
      <c r="S266" s="37"/>
      <c r="T266" s="37"/>
      <c r="U266" s="37"/>
      <c r="V266" s="37"/>
      <c r="W266" s="37"/>
      <c r="X266" s="37"/>
      <c r="Y266" s="37"/>
      <c r="Z266" s="37"/>
      <c r="AA266" s="37"/>
      <c r="AB266" s="215"/>
      <c r="AC266" s="218" t="s">
        <v>207</v>
      </c>
      <c r="AD266" s="221">
        <f>AD137</f>
        <v>2.0664743902459746</v>
      </c>
      <c r="AE266" s="221">
        <f>AE137</f>
        <v>2.0664743902459746</v>
      </c>
      <c r="AF266" s="221">
        <f>AF137</f>
        <v>2.0428381357553747</v>
      </c>
      <c r="AG266" s="221">
        <f>AG137</f>
        <v>2.0428381357553747</v>
      </c>
      <c r="AH266" s="19"/>
      <c r="AI266" s="19"/>
      <c r="AJ266" s="19"/>
      <c r="AK266" s="19"/>
      <c r="AL266" s="19"/>
    </row>
    <row r="267" spans="1:38" ht="12.95" customHeight="1" x14ac:dyDescent="0.2">
      <c r="A267" s="19"/>
      <c r="B267" s="19"/>
      <c r="C267" s="19"/>
      <c r="D267" s="19"/>
      <c r="E267" s="19"/>
      <c r="F267" s="19"/>
      <c r="G267" s="19"/>
      <c r="H267" s="19"/>
      <c r="I267" s="19"/>
      <c r="J267" s="19"/>
      <c r="K267" s="19"/>
      <c r="L267" s="19"/>
      <c r="M267" s="19"/>
      <c r="N267" s="19"/>
      <c r="O267" s="19"/>
      <c r="P267" s="19"/>
      <c r="Q267" s="19"/>
      <c r="R267" s="19"/>
      <c r="S267" s="37"/>
      <c r="T267" s="37"/>
      <c r="U267" s="37"/>
      <c r="V267" s="37"/>
      <c r="W267" s="37"/>
      <c r="X267" s="37"/>
      <c r="Y267" s="37"/>
      <c r="Z267" s="37"/>
      <c r="AA267" s="37"/>
      <c r="AB267" s="643" t="s">
        <v>243</v>
      </c>
      <c r="AC267" s="222" t="s">
        <v>8</v>
      </c>
      <c r="AD267" s="223">
        <f>AD266-TINV((100-AD264)/100,AD265)*AD$139</f>
        <v>2.0664743902459746</v>
      </c>
      <c r="AE267" s="223">
        <f>AE266-TINV((100-AE264)/100,AE265)*AE139</f>
        <v>2.0664743902459746</v>
      </c>
      <c r="AF267" s="223">
        <f>AF266-TINV((100-AF264)/100,AF265)*AF139</f>
        <v>2.0428381357553747</v>
      </c>
      <c r="AG267" s="223">
        <f>AG266-TINV((100-AG264)/100,AG265)*AG139</f>
        <v>2.0428381357553747</v>
      </c>
      <c r="AH267" s="19"/>
      <c r="AI267" s="19"/>
      <c r="AJ267" s="19"/>
      <c r="AK267" s="19"/>
      <c r="AL267" s="19"/>
    </row>
    <row r="268" spans="1:38" x14ac:dyDescent="0.2">
      <c r="A268" s="19"/>
      <c r="B268" s="19"/>
      <c r="C268" s="19"/>
      <c r="D268" s="19"/>
      <c r="E268" s="19"/>
      <c r="F268" s="19"/>
      <c r="G268" s="19"/>
      <c r="H268" s="19"/>
      <c r="I268" s="19"/>
      <c r="J268" s="19"/>
      <c r="K268" s="19"/>
      <c r="L268" s="19"/>
      <c r="M268" s="19"/>
      <c r="N268" s="19"/>
      <c r="O268" s="19"/>
      <c r="P268" s="19"/>
      <c r="Q268" s="19"/>
      <c r="R268" s="19"/>
      <c r="S268" s="37"/>
      <c r="T268" s="37"/>
      <c r="U268" s="37"/>
      <c r="V268" s="37"/>
      <c r="W268" s="37"/>
      <c r="X268" s="37"/>
      <c r="Y268" s="37"/>
      <c r="Z268" s="37"/>
      <c r="AA268" s="37"/>
      <c r="AB268" s="644"/>
      <c r="AC268" s="224" t="s">
        <v>9</v>
      </c>
      <c r="AD268" s="225">
        <f>AD266+TINV((100-AD264)/100,AD265)*AD$139</f>
        <v>2.0664743902459746</v>
      </c>
      <c r="AE268" s="225">
        <f>AE266+TINV((100-AE264)/100,AE265)*AE139</f>
        <v>2.0664743902459746</v>
      </c>
      <c r="AF268" s="225">
        <f>AF266+TINV((100-AF264)/100,AF265)*AF139</f>
        <v>2.0428381357553747</v>
      </c>
      <c r="AG268" s="225">
        <f>AG266+TINV((100-AG264)/100,AG265)*AG139</f>
        <v>2.0428381357553747</v>
      </c>
      <c r="AH268" s="19"/>
      <c r="AI268" s="19"/>
      <c r="AJ268" s="19"/>
      <c r="AK268" s="19"/>
      <c r="AL268" s="19"/>
    </row>
    <row r="269" spans="1:38" ht="12.95" customHeight="1" x14ac:dyDescent="0.2">
      <c r="A269" s="19"/>
      <c r="B269" s="19"/>
      <c r="C269" s="19"/>
      <c r="D269" s="19"/>
      <c r="E269" s="19"/>
      <c r="F269" s="19"/>
      <c r="G269" s="19"/>
      <c r="H269" s="19"/>
      <c r="I269" s="19"/>
      <c r="J269" s="19"/>
      <c r="K269" s="19"/>
      <c r="L269" s="19"/>
      <c r="M269" s="19"/>
      <c r="N269" s="19"/>
      <c r="O269" s="19"/>
      <c r="P269" s="19"/>
      <c r="Q269" s="19"/>
      <c r="R269" s="19"/>
      <c r="S269" s="37"/>
      <c r="T269" s="37"/>
      <c r="U269" s="37"/>
      <c r="V269" s="37"/>
      <c r="W269" s="37"/>
      <c r="X269" s="37"/>
      <c r="Y269" s="37"/>
      <c r="Z269" s="37"/>
      <c r="AA269" s="37"/>
      <c r="AB269" s="645"/>
      <c r="AC269" s="226" t="s">
        <v>10</v>
      </c>
      <c r="AD269" s="227">
        <f>(AD268-AD267)/2</f>
        <v>0</v>
      </c>
      <c r="AE269" s="227">
        <f>(AE268-AE267)/2</f>
        <v>0</v>
      </c>
      <c r="AF269" s="227">
        <f>(AF268-AF267)/2</f>
        <v>0</v>
      </c>
      <c r="AG269" s="227">
        <f>(AG268-AG267)/2</f>
        <v>0</v>
      </c>
      <c r="AH269" s="19"/>
      <c r="AI269" s="19"/>
      <c r="AJ269" s="19"/>
      <c r="AK269" s="19"/>
      <c r="AL269" s="19"/>
    </row>
    <row r="270" spans="1:38" ht="12.6" customHeight="1" x14ac:dyDescent="0.2">
      <c r="A270" s="19"/>
      <c r="B270" s="19"/>
      <c r="C270" s="19"/>
      <c r="D270" s="19"/>
      <c r="E270" s="19"/>
      <c r="F270" s="19"/>
      <c r="G270" s="19"/>
      <c r="H270" s="19"/>
      <c r="I270" s="19"/>
      <c r="J270" s="19"/>
      <c r="K270" s="19"/>
      <c r="L270" s="19"/>
      <c r="M270" s="19"/>
      <c r="N270" s="19"/>
      <c r="O270" s="19"/>
      <c r="P270" s="19"/>
      <c r="Q270" s="19"/>
      <c r="R270" s="19"/>
      <c r="S270" s="37"/>
      <c r="T270" s="37"/>
      <c r="U270" s="37"/>
      <c r="V270" s="37"/>
      <c r="W270" s="37"/>
      <c r="X270" s="37"/>
      <c r="Y270" s="37"/>
      <c r="Z270" s="37"/>
      <c r="AA270" s="37"/>
      <c r="AB270" s="635" t="s">
        <v>61</v>
      </c>
      <c r="AC270" s="228" t="s">
        <v>12</v>
      </c>
      <c r="AD270" s="229" t="e">
        <f>AD203*AD215</f>
        <v>#VALUE!</v>
      </c>
      <c r="AE270" s="229" t="e">
        <f>AE203*AE215</f>
        <v>#VALUE!</v>
      </c>
      <c r="AF270" s="229" t="e">
        <f>AF203*AF215</f>
        <v>#VALUE!</v>
      </c>
      <c r="AG270" s="229" t="e">
        <f>AG203*AG215</f>
        <v>#VALUE!</v>
      </c>
      <c r="AH270" s="19"/>
      <c r="AI270" s="19"/>
      <c r="AJ270" s="19"/>
      <c r="AK270" s="19"/>
      <c r="AL270" s="19"/>
    </row>
    <row r="271" spans="1:38" x14ac:dyDescent="0.2">
      <c r="A271" s="19"/>
      <c r="B271" s="19"/>
      <c r="C271" s="19"/>
      <c r="D271" s="19"/>
      <c r="E271" s="19"/>
      <c r="F271" s="19"/>
      <c r="G271" s="19"/>
      <c r="H271" s="19"/>
      <c r="I271" s="19"/>
      <c r="J271" s="19"/>
      <c r="K271" s="19"/>
      <c r="L271" s="19"/>
      <c r="M271" s="19"/>
      <c r="N271" s="19"/>
      <c r="O271" s="19"/>
      <c r="P271" s="19"/>
      <c r="Q271" s="19"/>
      <c r="R271" s="19"/>
      <c r="S271" s="37"/>
      <c r="T271" s="37"/>
      <c r="U271" s="37"/>
      <c r="V271" s="37"/>
      <c r="W271" s="37"/>
      <c r="X271" s="37"/>
      <c r="Y271" s="37"/>
      <c r="Z271" s="37"/>
      <c r="AA271" s="37"/>
      <c r="AB271" s="636"/>
      <c r="AC271" s="230" t="s">
        <v>13</v>
      </c>
      <c r="AD271" s="229" t="e">
        <f>AD204*AD215</f>
        <v>#VALUE!</v>
      </c>
      <c r="AE271" s="229" t="e">
        <f>AE204*AE215</f>
        <v>#VALUE!</v>
      </c>
      <c r="AF271" s="229" t="e">
        <f>AF204*AF215</f>
        <v>#VALUE!</v>
      </c>
      <c r="AG271" s="229" t="e">
        <f>AG204*AG215</f>
        <v>#VALUE!</v>
      </c>
      <c r="AH271" s="19"/>
      <c r="AI271" s="19"/>
      <c r="AJ271" s="19"/>
      <c r="AK271" s="19"/>
      <c r="AL271" s="19"/>
    </row>
    <row r="272" spans="1:38" ht="13.15" customHeight="1" x14ac:dyDescent="0.2">
      <c r="A272" s="19"/>
      <c r="B272" s="19"/>
      <c r="C272" s="19"/>
      <c r="D272" s="19"/>
      <c r="E272" s="19"/>
      <c r="F272" s="19"/>
      <c r="G272" s="19"/>
      <c r="H272" s="19"/>
      <c r="I272" s="19"/>
      <c r="J272" s="19"/>
      <c r="K272" s="19"/>
      <c r="L272" s="19"/>
      <c r="M272" s="19"/>
      <c r="N272" s="19"/>
      <c r="O272" s="19"/>
      <c r="P272" s="19"/>
      <c r="Q272" s="19"/>
      <c r="R272" s="19"/>
      <c r="S272" s="37"/>
      <c r="T272" s="37"/>
      <c r="U272" s="37"/>
      <c r="V272" s="37"/>
      <c r="W272" s="37"/>
      <c r="X272" s="37"/>
      <c r="Y272" s="37"/>
      <c r="Z272" s="37"/>
      <c r="AA272" s="37"/>
      <c r="AB272" s="626" t="s">
        <v>14</v>
      </c>
      <c r="AC272" s="629" t="s">
        <v>12</v>
      </c>
      <c r="AD272" s="231" t="e">
        <f>IF(ISERROR(TDIST((AD270-AD$137)/AD$139,AD265,1)),1-TDIST((AD$137-AD270)/AD$139,AD265,1),TDIST((AD270-AD$137)/AD$139,AD265,1))*100</f>
        <v>#VALUE!</v>
      </c>
      <c r="AE272" s="231" t="e">
        <f>IF(ISERROR(TDIST((AE270-AE$137)/AE$139,AE265,1)),1-TDIST((AE$137-AE270)/AE$139,AE265,1),TDIST((AE270-AE$137)/AE$139,AE265,1))*100</f>
        <v>#VALUE!</v>
      </c>
      <c r="AF272" s="231" t="e">
        <f>IF(ISERROR(TDIST((AF270-AF$137)/AF$139,AF265,1)),1-TDIST((AF$137-AF270)/AF$139,AF265,1),TDIST((AF270-AF$137)/AF$139,AF265,1))*100</f>
        <v>#VALUE!</v>
      </c>
      <c r="AG272" s="231" t="e">
        <f>IF(ISERROR(TDIST((AG270-AG$137)/AG$139,AG265,1)),1-TDIST((AG$137-AG270)/AG$139,AG265,1),TDIST((AG270-AG$137)/AG$139,AG265,1))*100</f>
        <v>#VALUE!</v>
      </c>
      <c r="AH272" s="19"/>
      <c r="AI272" s="19"/>
      <c r="AJ272" s="19"/>
      <c r="AK272" s="19"/>
      <c r="AL272" s="19"/>
    </row>
    <row r="273" spans="1:38" x14ac:dyDescent="0.2">
      <c r="A273" s="19"/>
      <c r="B273" s="19"/>
      <c r="C273" s="19"/>
      <c r="D273" s="19"/>
      <c r="E273" s="19"/>
      <c r="F273" s="19"/>
      <c r="G273" s="19"/>
      <c r="H273" s="19"/>
      <c r="I273" s="19"/>
      <c r="J273" s="19"/>
      <c r="K273" s="19"/>
      <c r="L273" s="19"/>
      <c r="M273" s="19"/>
      <c r="N273" s="19"/>
      <c r="O273" s="19"/>
      <c r="P273" s="19"/>
      <c r="Q273" s="19"/>
      <c r="R273" s="19"/>
      <c r="S273" s="37"/>
      <c r="T273" s="37"/>
      <c r="U273" s="37"/>
      <c r="V273" s="37"/>
      <c r="W273" s="37"/>
      <c r="X273" s="37"/>
      <c r="Y273" s="37"/>
      <c r="Z273" s="37"/>
      <c r="AA273" s="37"/>
      <c r="AB273" s="627"/>
      <c r="AC273" s="630"/>
      <c r="AD273" s="232" t="e">
        <f>IF(AD272&lt;0.5,"almost certainly not",IF(AD272&lt;5,"very unlikely",IF(AD272&lt;25,"unlikely, probably not",IF(AD272&lt;75,"possibly, may (not)",IF(AD272&lt;95,"likely, probable",IF(AD272&lt;99.5,"very likely","almost certainly"))))))</f>
        <v>#VALUE!</v>
      </c>
      <c r="AE273" s="232" t="e">
        <f>IF(AE272&lt;0.5,"almost certainly not",IF(AE272&lt;5,"very unlikely",IF(AE272&lt;25,"unlikely, probably not",IF(AE272&lt;75,"possibly, may (not)",IF(AE272&lt;95,"likely, probable",IF(AE272&lt;99.5,"very likely","almost certainly"))))))</f>
        <v>#VALUE!</v>
      </c>
      <c r="AF273" s="232" t="e">
        <f>IF(AF272&lt;0.5,"almost certainly not",IF(AF272&lt;5,"very unlikely",IF(AF272&lt;25,"unlikely, probably not",IF(AF272&lt;75,"possibly, may (not)",IF(AF272&lt;95,"likely, probable",IF(AF272&lt;99.5,"very likely","almost certainly"))))))</f>
        <v>#VALUE!</v>
      </c>
      <c r="AG273" s="232" t="e">
        <f>IF(AG272&lt;0.5,"almost certainly not",IF(AG272&lt;5,"very unlikely",IF(AG272&lt;25,"unlikely, probably not",IF(AG272&lt;75,"possibly, may (not)",IF(AG272&lt;95,"likely, probable",IF(AG272&lt;99.5,"very likely","almost certainly"))))))</f>
        <v>#VALUE!</v>
      </c>
      <c r="AH273" s="19"/>
      <c r="AI273" s="19"/>
      <c r="AJ273" s="19"/>
      <c r="AK273" s="19"/>
      <c r="AL273" s="19"/>
    </row>
    <row r="274" spans="1:38" x14ac:dyDescent="0.2">
      <c r="A274" s="19"/>
      <c r="B274" s="19"/>
      <c r="C274" s="19"/>
      <c r="D274" s="19"/>
      <c r="E274" s="19"/>
      <c r="F274" s="19"/>
      <c r="G274" s="19"/>
      <c r="H274" s="19"/>
      <c r="I274" s="19"/>
      <c r="J274" s="19"/>
      <c r="K274" s="19"/>
      <c r="L274" s="19"/>
      <c r="M274" s="19"/>
      <c r="N274" s="19"/>
      <c r="O274" s="19"/>
      <c r="P274" s="19"/>
      <c r="Q274" s="19"/>
      <c r="R274" s="19"/>
      <c r="S274" s="37"/>
      <c r="T274" s="37"/>
      <c r="U274" s="37"/>
      <c r="V274" s="37"/>
      <c r="W274" s="37"/>
      <c r="X274" s="37"/>
      <c r="Y274" s="37"/>
      <c r="Z274" s="37"/>
      <c r="AA274" s="37"/>
      <c r="AB274" s="627"/>
      <c r="AC274" s="634" t="s">
        <v>11</v>
      </c>
      <c r="AD274" s="231" t="e">
        <f>100-AD272-AD276</f>
        <v>#VALUE!</v>
      </c>
      <c r="AE274" s="231" t="e">
        <f>100-AE272-AE276</f>
        <v>#VALUE!</v>
      </c>
      <c r="AF274" s="231" t="e">
        <f>100-AF272-AF276</f>
        <v>#VALUE!</v>
      </c>
      <c r="AG274" s="231" t="e">
        <f>100-AG272-AG276</f>
        <v>#VALUE!</v>
      </c>
      <c r="AH274" s="34"/>
      <c r="AI274" s="19"/>
      <c r="AJ274" s="19"/>
      <c r="AK274" s="19"/>
      <c r="AL274" s="19"/>
    </row>
    <row r="275" spans="1:38" x14ac:dyDescent="0.2">
      <c r="A275" s="19"/>
      <c r="B275" s="19"/>
      <c r="C275" s="19"/>
      <c r="D275" s="19"/>
      <c r="E275" s="19"/>
      <c r="F275" s="19"/>
      <c r="G275" s="19"/>
      <c r="H275" s="19"/>
      <c r="I275" s="19"/>
      <c r="J275" s="19"/>
      <c r="K275" s="19"/>
      <c r="L275" s="19"/>
      <c r="M275" s="19"/>
      <c r="N275" s="19"/>
      <c r="O275" s="19"/>
      <c r="P275" s="19"/>
      <c r="Q275" s="19"/>
      <c r="R275" s="19"/>
      <c r="S275" s="37"/>
      <c r="T275" s="37"/>
      <c r="U275" s="37"/>
      <c r="V275" s="37"/>
      <c r="W275" s="37"/>
      <c r="X275" s="37"/>
      <c r="Y275" s="37"/>
      <c r="Z275" s="37"/>
      <c r="AA275" s="37"/>
      <c r="AB275" s="627"/>
      <c r="AC275" s="631"/>
      <c r="AD275" s="232" t="e">
        <f>IF(AD274&lt;0.5,"almost certainly not",IF(AD274&lt;5,"very unlikely",IF(AD274&lt;25,"unlikely, probably not",IF(AD274&lt;75,"possibly, may (not)",IF(AD274&lt;95,"likely, probable",IF(AD274&lt;99.5,"very likely","almost certainly"))))))</f>
        <v>#VALUE!</v>
      </c>
      <c r="AE275" s="232" t="e">
        <f>IF(AE274&lt;0.5,"almost certainly not",IF(AE274&lt;5,"very unlikely",IF(AE274&lt;25,"unlikely, probably not",IF(AE274&lt;75,"possibly, may (not)",IF(AE274&lt;95,"likely, probable",IF(AE274&lt;99.5,"very likely","almost certainly"))))))</f>
        <v>#VALUE!</v>
      </c>
      <c r="AF275" s="232" t="e">
        <f>IF(AF274&lt;0.5,"almost certainly not",IF(AF274&lt;5,"very unlikely",IF(AF274&lt;25,"unlikely, probably not",IF(AF274&lt;75,"possibly, may (not)",IF(AF274&lt;95,"likely, probable",IF(AF274&lt;99.5,"very likely","almost certainly"))))))</f>
        <v>#VALUE!</v>
      </c>
      <c r="AG275" s="232" t="e">
        <f>IF(AG274&lt;0.5,"almost certainly not",IF(AG274&lt;5,"very unlikely",IF(AG274&lt;25,"unlikely, probably not",IF(AG274&lt;75,"possibly, may (not)",IF(AG274&lt;95,"likely, probable",IF(AG274&lt;99.5,"very likely","almost certainly"))))))</f>
        <v>#VALUE!</v>
      </c>
      <c r="AH275" s="19"/>
      <c r="AI275" s="19"/>
      <c r="AJ275" s="19"/>
      <c r="AK275" s="19"/>
      <c r="AL275" s="19"/>
    </row>
    <row r="276" spans="1:38" x14ac:dyDescent="0.2">
      <c r="A276" s="19"/>
      <c r="B276" s="19"/>
      <c r="C276" s="19"/>
      <c r="D276" s="19"/>
      <c r="E276" s="19"/>
      <c r="F276" s="19"/>
      <c r="G276" s="19"/>
      <c r="H276" s="19"/>
      <c r="I276" s="19"/>
      <c r="J276" s="19"/>
      <c r="K276" s="19"/>
      <c r="L276" s="19"/>
      <c r="M276" s="19"/>
      <c r="N276" s="19"/>
      <c r="O276" s="19"/>
      <c r="P276" s="19"/>
      <c r="Q276" s="19"/>
      <c r="R276" s="19"/>
      <c r="S276" s="37"/>
      <c r="T276" s="37"/>
      <c r="U276" s="37"/>
      <c r="V276" s="37"/>
      <c r="W276" s="37"/>
      <c r="X276" s="37"/>
      <c r="Y276" s="37"/>
      <c r="Z276" s="37"/>
      <c r="AA276" s="37"/>
      <c r="AB276" s="627"/>
      <c r="AC276" s="629" t="s">
        <v>13</v>
      </c>
      <c r="AD276" s="231" t="e">
        <f>IF(ISERROR(TDIST((AD271-AD$137)/AD$139,AD265,1)),TDIST((AD$137-AD271)/AD$139,AD265,1),1-TDIST((AD271-AD$137)/AD$139,AD265,1))*100</f>
        <v>#VALUE!</v>
      </c>
      <c r="AE276" s="231" t="e">
        <f>IF(ISERROR(TDIST((AE271-AE$137)/AE$139,AE265,1)),TDIST((AE$137-AE271)/AE$139,AE265,1),1-TDIST((AE271-AE$137)/AE$139,AE265,1))*100</f>
        <v>#VALUE!</v>
      </c>
      <c r="AF276" s="231" t="e">
        <f>IF(ISERROR(TDIST((AF271-AF$137)/AF$139,AF265,1)),TDIST((AF$137-AF271)/AF$139,AF265,1),1-TDIST((AF271-AF$137)/AF$139,AF265,1))*100</f>
        <v>#VALUE!</v>
      </c>
      <c r="AG276" s="231" t="e">
        <f>IF(ISERROR(TDIST((AG271-AG$137)/AG$139,AG265,1)),TDIST((AG$137-AG271)/AG$139,AG265,1),1-TDIST((AG271-AG$137)/AG$139,AG265,1))*100</f>
        <v>#VALUE!</v>
      </c>
      <c r="AH276" s="19"/>
      <c r="AI276" s="19"/>
      <c r="AJ276" s="19"/>
      <c r="AK276" s="19"/>
      <c r="AL276" s="19"/>
    </row>
    <row r="277" spans="1:38" ht="12.95" customHeight="1" x14ac:dyDescent="0.2">
      <c r="A277" s="19"/>
      <c r="B277" s="19"/>
      <c r="C277" s="19"/>
      <c r="D277" s="19"/>
      <c r="E277" s="19"/>
      <c r="F277" s="19"/>
      <c r="G277" s="19"/>
      <c r="H277" s="19"/>
      <c r="I277" s="19"/>
      <c r="J277" s="19"/>
      <c r="K277" s="19"/>
      <c r="L277" s="19"/>
      <c r="M277" s="19"/>
      <c r="N277" s="19"/>
      <c r="O277" s="19"/>
      <c r="P277" s="19"/>
      <c r="Q277" s="19"/>
      <c r="R277" s="19"/>
      <c r="S277" s="37"/>
      <c r="T277" s="37"/>
      <c r="U277" s="37"/>
      <c r="V277" s="37"/>
      <c r="W277" s="37"/>
      <c r="X277" s="37"/>
      <c r="Y277" s="37"/>
      <c r="Z277" s="37"/>
      <c r="AA277" s="37"/>
      <c r="AB277" s="628"/>
      <c r="AC277" s="631"/>
      <c r="AD277" s="232" t="e">
        <f>IF(AD276&lt;0.5,"almost certainly not",IF(AD276&lt;5,"very unlikely",IF(AD276&lt;25,"unlikely, probably not",IF(AD276&lt;75,"possibly, may (not)",IF(AD276&lt;95,"likely, probable",IF(AD276&lt;99.5,"very likely","almost certainly"))))))</f>
        <v>#VALUE!</v>
      </c>
      <c r="AE277" s="232" t="e">
        <f>IF(AE276&lt;0.5,"almost certainly not",IF(AE276&lt;5,"very unlikely",IF(AE276&lt;25,"unlikely, probably not",IF(AE276&lt;75,"possibly, may (not)",IF(AE276&lt;95,"likely, probable",IF(AE276&lt;99.5,"very likely","almost certainly"))))))</f>
        <v>#VALUE!</v>
      </c>
      <c r="AF277" s="232" t="e">
        <f>IF(AF276&lt;0.5,"almost certainly not",IF(AF276&lt;5,"very unlikely",IF(AF276&lt;25,"unlikely, probably not",IF(AF276&lt;75,"possibly, may (not)",IF(AF276&lt;95,"likely, probable",IF(AF276&lt;99.5,"very likely","almost certainly"))))))</f>
        <v>#VALUE!</v>
      </c>
      <c r="AG277" s="232" t="e">
        <f>IF(AG276&lt;0.5,"almost certainly not",IF(AG276&lt;5,"very unlikely",IF(AG276&lt;25,"unlikely, probably not",IF(AG276&lt;75,"possibly, may (not)",IF(AG276&lt;95,"likely, probable",IF(AG276&lt;99.5,"very likely","almost certainly"))))))</f>
        <v>#VALUE!</v>
      </c>
      <c r="AH277" s="19"/>
      <c r="AI277" s="19"/>
      <c r="AJ277" s="19"/>
      <c r="AK277" s="19"/>
      <c r="AL277" s="19"/>
    </row>
    <row r="278" spans="1:38" x14ac:dyDescent="0.2">
      <c r="A278" s="19"/>
      <c r="B278" s="19"/>
      <c r="C278" s="19"/>
      <c r="D278" s="19"/>
      <c r="E278" s="19"/>
      <c r="F278" s="19"/>
      <c r="G278" s="19"/>
      <c r="H278" s="19"/>
      <c r="I278" s="19"/>
      <c r="J278" s="19"/>
      <c r="K278" s="19"/>
      <c r="L278" s="19"/>
      <c r="M278" s="19"/>
      <c r="N278" s="19"/>
      <c r="O278" s="19"/>
      <c r="P278" s="19"/>
      <c r="Q278" s="19"/>
      <c r="R278" s="19"/>
      <c r="S278" s="37"/>
      <c r="T278" s="37"/>
      <c r="U278" s="37"/>
      <c r="V278" s="37"/>
      <c r="W278" s="37"/>
      <c r="X278" s="37"/>
      <c r="Y278" s="37"/>
      <c r="Z278" s="37"/>
      <c r="AA278" s="37"/>
      <c r="AB278" s="233"/>
      <c r="AC278" s="234"/>
      <c r="AD278" s="235"/>
      <c r="AE278" s="235"/>
      <c r="AF278" s="236"/>
      <c r="AG278" s="236"/>
      <c r="AH278" s="19"/>
      <c r="AI278" s="19"/>
      <c r="AJ278" s="19"/>
      <c r="AK278" s="19"/>
      <c r="AL278" s="19"/>
    </row>
    <row r="279" spans="1:38" x14ac:dyDescent="0.2">
      <c r="A279" s="19"/>
      <c r="B279" s="19"/>
      <c r="C279" s="19"/>
      <c r="D279" s="19"/>
      <c r="E279" s="19"/>
      <c r="F279" s="19"/>
      <c r="G279" s="19"/>
      <c r="H279" s="19"/>
      <c r="I279" s="19"/>
      <c r="J279" s="19"/>
      <c r="K279" s="19"/>
      <c r="L279" s="19"/>
      <c r="M279" s="19"/>
      <c r="N279" s="19"/>
      <c r="O279" s="19"/>
      <c r="P279" s="19"/>
      <c r="Q279" s="19"/>
      <c r="R279" s="19"/>
      <c r="S279" s="37"/>
      <c r="T279" s="37"/>
      <c r="U279" s="37"/>
      <c r="V279" s="37"/>
      <c r="W279" s="37"/>
      <c r="X279" s="37"/>
      <c r="Y279" s="37"/>
      <c r="Z279" s="37"/>
      <c r="AA279" s="37"/>
      <c r="AB279" s="215"/>
      <c r="AC279" s="237" t="s">
        <v>145</v>
      </c>
      <c r="AD279" s="238">
        <f>IF(ISERROR(SQRT(AD106^2-AD73^2)),-SQRT(AD73^2-AD106^2),SQRT(AD106^2-AD73^2))</f>
        <v>1.5572301426902739</v>
      </c>
      <c r="AE279" s="238">
        <f>IF(ISERROR(SQRT(AE106^2-AE73^2)),-SQRT(AE73^2-AE106^2),SQRT(AE106^2-AE73^2))</f>
        <v>1.5572301426902739</v>
      </c>
      <c r="AF279" s="239">
        <f>IF(ISERROR(SQRT(AF106^2-AF73^2)),-SQRT(AF73^2-AF106^2),SQRT(AF106^2-AF73^2))</f>
        <v>1.3027725535769394</v>
      </c>
      <c r="AG279" s="239">
        <f>IF(ISERROR(SQRT(AG106^2-AG73^2)),-SQRT(AG73^2-AG106^2),SQRT(AG106^2-AG73^2))</f>
        <v>1.3027725535769394</v>
      </c>
      <c r="AH279" s="19"/>
      <c r="AI279" s="19"/>
      <c r="AJ279" s="19"/>
      <c r="AK279" s="19"/>
      <c r="AL279" s="19"/>
    </row>
    <row r="280" spans="1:38" ht="12.6" customHeight="1" x14ac:dyDescent="0.2">
      <c r="A280" s="19"/>
      <c r="B280" s="19"/>
      <c r="C280" s="19"/>
      <c r="D280" s="19"/>
      <c r="E280" s="19"/>
      <c r="F280" s="19"/>
      <c r="G280" s="19"/>
      <c r="H280" s="19"/>
      <c r="I280" s="19"/>
      <c r="J280" s="19"/>
      <c r="K280" s="19"/>
      <c r="L280" s="19"/>
      <c r="M280" s="19"/>
      <c r="N280" s="19"/>
      <c r="O280" s="19"/>
      <c r="P280" s="19"/>
      <c r="Q280" s="19"/>
      <c r="R280" s="19"/>
      <c r="S280" s="37"/>
      <c r="T280" s="37"/>
      <c r="U280" s="37"/>
      <c r="V280" s="37"/>
      <c r="W280" s="37"/>
      <c r="X280" s="37"/>
      <c r="Y280" s="37"/>
      <c r="Z280" s="37"/>
      <c r="AA280" s="37"/>
      <c r="AB280" s="619" t="s">
        <v>242</v>
      </c>
      <c r="AC280" s="222" t="s">
        <v>8</v>
      </c>
      <c r="AD280" s="223">
        <f>IF(ISERROR(SQRT(AD106^2-AD73^2+NORMINV(0.5-AD264/200,0,1)*SQRT(2*AD73^4/AD75+2*AD106^4/AD108))),-SQRT(-(AD106^2-AD73^2+NORMINV(0.5-AD264/200,0,1)*SQRT(2*AD73^4/AD75+2*AD106^4/AD108))),SQRT(AD106^2-AD73^2+NORMINV(0.5-AD264/200,0,1)*SQRT(2*AD73^4/AD75+2*AD106^4/AD108)))</f>
        <v>1.5572301426902739</v>
      </c>
      <c r="AE280" s="223">
        <f>IF(ISERROR(SQRT(AE106^2-AE73^2+NORMINV(0.5-AE264/200,0,1)*SQRT(2*AE73^4/AE75+2*AE106^4/AE108))),-SQRT(-(AE106^2-AE73^2+NORMINV(0.5-AE264/200,0,1)*SQRT(2*AE73^4/AE75+2*AE106^4/AE108))),SQRT(AE106^2-AE73^2+NORMINV(0.5-AE264/200,0,1)*SQRT(2*AE73^4/AE75+2*AE106^4/AE108)))</f>
        <v>1.5572301426902739</v>
      </c>
      <c r="AF280" s="223">
        <f>IF(ISERROR(SQRT(AF106^2-AF73^2+NORMINV(0.5-AF264/200,0,1)*SQRT(2*AF73^4/AF75+2*AF106^4/AF108))),-SQRT(-(AF106^2-AF73^2+NORMINV(0.5-AF264/200,0,1)*SQRT(2*AF73^4/AF75+2*AF106^4/AF108))),SQRT(AF106^2-AF73^2+NORMINV(0.5-AF264/200,0,1)*SQRT(2*AF73^4/AF75+2*AF106^4/AF108)))</f>
        <v>1.3027725535769394</v>
      </c>
      <c r="AG280" s="223">
        <f>IF(ISERROR(SQRT(AG106^2-AG73^2+NORMINV(0.5-AG264/200,0,1)*SQRT(2*AG73^4/AG75+2*AG106^4/AG108))),-SQRT(-(AG106^2-AG73^2+NORMINV(0.5-AG264/200,0,1)*SQRT(2*AG73^4/AG75+2*AG106^4/AG108))),SQRT(AG106^2-AG73^2+NORMINV(0.5-AG264/200,0,1)*SQRT(2*AG73^4/AG75+2*AG106^4/AG108)))</f>
        <v>1.3027725535769394</v>
      </c>
      <c r="AH280" s="19"/>
      <c r="AI280" s="19"/>
      <c r="AJ280" s="19"/>
      <c r="AK280" s="19"/>
      <c r="AL280" s="19"/>
    </row>
    <row r="281" spans="1:38" x14ac:dyDescent="0.2">
      <c r="A281" s="19"/>
      <c r="B281" s="19"/>
      <c r="C281" s="19"/>
      <c r="D281" s="19"/>
      <c r="E281" s="19"/>
      <c r="F281" s="19"/>
      <c r="G281" s="19"/>
      <c r="H281" s="19"/>
      <c r="I281" s="19"/>
      <c r="J281" s="19"/>
      <c r="K281" s="19"/>
      <c r="L281" s="19"/>
      <c r="M281" s="19"/>
      <c r="N281" s="19"/>
      <c r="O281" s="19"/>
      <c r="P281" s="19"/>
      <c r="Q281" s="19"/>
      <c r="R281" s="19"/>
      <c r="S281" s="37"/>
      <c r="T281" s="37"/>
      <c r="U281" s="37"/>
      <c r="V281" s="37"/>
      <c r="W281" s="37"/>
      <c r="X281" s="37"/>
      <c r="Y281" s="37"/>
      <c r="Z281" s="37"/>
      <c r="AA281" s="37"/>
      <c r="AB281" s="620"/>
      <c r="AC281" s="224" t="s">
        <v>9</v>
      </c>
      <c r="AD281" s="240">
        <f>IF(ISERROR(SQRT(AD106^2-AD73^2+NORMINV(0.5+AD264/200,0,1)*SQRT(2*AD73^4/AD75+2*AD106^4/AD108))),-SQRT(-(AD106^2-AD73^2+NORMINV(0.5+AD264/200,0,1)*SQRT(2*AD73^4/AD75+2*AD106^4/AD108))),SQRT(AD106^2-AD73^2+NORMINV(0.5+AD264/200,0,1)*SQRT(2*AD73^4/AD75+2*AD106^4/AD108)))</f>
        <v>1.5572301426902739</v>
      </c>
      <c r="AE281" s="240">
        <f>IF(ISERROR(SQRT(AE106^2-AE73^2+NORMINV(0.5+AE264/200,0,1)*SQRT(2*AE73^4/AE75+2*AE106^4/AE108))),-SQRT(-(AE106^2-AE73^2+NORMINV(0.5+AE264/200,0,1)*SQRT(2*AE73^4/AE75+2*AE106^4/AE108))),SQRT(AE106^2-AE73^2+NORMINV(0.5+AE264/200,0,1)*SQRT(2*AE73^4/AE75+2*AE106^4/AE108)))</f>
        <v>1.5572301426902739</v>
      </c>
      <c r="AF281" s="240">
        <f>IF(ISERROR(SQRT(AF106^2-AF73^2+NORMINV(0.5+AF264/200,0,1)*SQRT(2*AF73^4/AF75+2*AF106^4/AF108))),-SQRT(-(AF106^2-AF73^2+NORMINV(0.5+AF264/200,0,1)*SQRT(2*AF73^4/AF75+2*AF106^4/AF108))),SQRT(AF106^2-AF73^2+NORMINV(0.5+AF264/200,0,1)*SQRT(2*AF73^4/AF75+2*AF106^4/AF108)))</f>
        <v>1.3027725535769394</v>
      </c>
      <c r="AG281" s="240">
        <f>IF(ISERROR(SQRT(AG106^2-AG73^2+NORMINV(0.5+AG264/200,0,1)*SQRT(2*AG73^4/AG75+2*AG106^4/AG108))),-SQRT(-(AG106^2-AG73^2+NORMINV(0.5+AG264/200,0,1)*SQRT(2*AG73^4/AG75+2*AG106^4/AG108))),SQRT(AG106^2-AG73^2+NORMINV(0.5+AG264/200,0,1)*SQRT(2*AG73^4/AG75+2*AG106^4/AG108)))</f>
        <v>1.3027725535769394</v>
      </c>
      <c r="AH281" s="19"/>
      <c r="AI281" s="19"/>
      <c r="AJ281" s="19"/>
      <c r="AK281" s="19"/>
      <c r="AL281" s="19"/>
    </row>
    <row r="282" spans="1:38" x14ac:dyDescent="0.2">
      <c r="A282" s="19"/>
      <c r="B282" s="19"/>
      <c r="C282" s="19"/>
      <c r="D282" s="19"/>
      <c r="E282" s="19"/>
      <c r="F282" s="19"/>
      <c r="G282" s="19"/>
      <c r="H282" s="19"/>
      <c r="I282" s="19"/>
      <c r="J282" s="19"/>
      <c r="K282" s="19"/>
      <c r="L282" s="19"/>
      <c r="M282" s="19"/>
      <c r="N282" s="19"/>
      <c r="O282" s="19"/>
      <c r="P282" s="19"/>
      <c r="Q282" s="19"/>
      <c r="R282" s="19"/>
      <c r="S282" s="37"/>
      <c r="T282" s="37"/>
      <c r="U282" s="37"/>
      <c r="V282" s="37"/>
      <c r="W282" s="37"/>
      <c r="X282" s="37"/>
      <c r="Y282" s="37"/>
      <c r="Z282" s="37"/>
      <c r="AA282" s="37"/>
      <c r="AB282" s="19"/>
      <c r="AC282" s="19"/>
      <c r="AD282" s="19"/>
      <c r="AE282" s="19"/>
      <c r="AF282" s="19"/>
      <c r="AG282" s="19"/>
      <c r="AH282" s="19"/>
      <c r="AI282" s="19"/>
      <c r="AJ282" s="19"/>
      <c r="AK282" s="19"/>
      <c r="AL282" s="19"/>
    </row>
    <row r="283" spans="1:38" x14ac:dyDescent="0.2">
      <c r="A283" s="19"/>
      <c r="B283" s="19"/>
      <c r="C283" s="19"/>
      <c r="D283" s="19"/>
      <c r="E283" s="19"/>
      <c r="F283" s="19"/>
      <c r="G283" s="19"/>
      <c r="H283" s="19"/>
      <c r="I283" s="19"/>
      <c r="J283" s="19"/>
      <c r="K283" s="19"/>
      <c r="L283" s="19"/>
      <c r="M283" s="19"/>
      <c r="N283" s="19"/>
      <c r="O283" s="19"/>
      <c r="P283" s="19"/>
      <c r="Q283" s="19"/>
      <c r="R283" s="19"/>
      <c r="S283" s="37"/>
      <c r="T283" s="37"/>
      <c r="U283" s="37"/>
      <c r="V283" s="37"/>
      <c r="W283" s="37"/>
      <c r="X283" s="37"/>
      <c r="Y283" s="37"/>
      <c r="Z283" s="37"/>
      <c r="AA283" s="37"/>
      <c r="AB283" s="19"/>
      <c r="AC283" s="19"/>
      <c r="AD283" s="19"/>
      <c r="AE283" s="19"/>
      <c r="AF283" s="19"/>
      <c r="AG283" s="19"/>
      <c r="AH283" s="19"/>
      <c r="AI283" s="19"/>
      <c r="AJ283" s="19"/>
      <c r="AK283" s="19"/>
      <c r="AL283" s="19"/>
    </row>
    <row r="284" spans="1:38"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row>
    <row r="285" spans="1:38"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row>
  </sheetData>
  <mergeCells count="213">
    <mergeCell ref="AD83:AE83"/>
    <mergeCell ref="AF83:AG83"/>
    <mergeCell ref="M83:N83"/>
    <mergeCell ref="O83:P83"/>
    <mergeCell ref="AB144:AC144"/>
    <mergeCell ref="AB151:AB152"/>
    <mergeCell ref="S151:S152"/>
    <mergeCell ref="AB159:AC159"/>
    <mergeCell ref="AB153:AB158"/>
    <mergeCell ref="AC157:AC158"/>
    <mergeCell ref="T157:T158"/>
    <mergeCell ref="S153:S158"/>
    <mergeCell ref="AC153:AC154"/>
    <mergeCell ref="AB148:AB150"/>
    <mergeCell ref="S125:V125"/>
    <mergeCell ref="AB203:AB204"/>
    <mergeCell ref="AC181:AC182"/>
    <mergeCell ref="S174:S176"/>
    <mergeCell ref="S165:S166"/>
    <mergeCell ref="T209:T210"/>
    <mergeCell ref="AB205:AB210"/>
    <mergeCell ref="AC205:AC206"/>
    <mergeCell ref="AC207:AC208"/>
    <mergeCell ref="AC209:AC210"/>
    <mergeCell ref="AC183:AC184"/>
    <mergeCell ref="AB185:AC185"/>
    <mergeCell ref="AB187:AC187"/>
    <mergeCell ref="AB188:AC188"/>
    <mergeCell ref="T207:T208"/>
    <mergeCell ref="AB170:AC170"/>
    <mergeCell ref="AC179:AC180"/>
    <mergeCell ref="S170:T170"/>
    <mergeCell ref="AB179:AB184"/>
    <mergeCell ref="AB186:AC186"/>
    <mergeCell ref="S179:S184"/>
    <mergeCell ref="S196:T196"/>
    <mergeCell ref="S177:S178"/>
    <mergeCell ref="AD262:AE262"/>
    <mergeCell ref="AF262:AG262"/>
    <mergeCell ref="M195:N195"/>
    <mergeCell ref="O195:P195"/>
    <mergeCell ref="AD195:AE195"/>
    <mergeCell ref="AF195:AG195"/>
    <mergeCell ref="AD239:AE239"/>
    <mergeCell ref="AF239:AG239"/>
    <mergeCell ref="M143:N143"/>
    <mergeCell ref="O143:P143"/>
    <mergeCell ref="AD143:AE143"/>
    <mergeCell ref="AF143:AG143"/>
    <mergeCell ref="M169:N169"/>
    <mergeCell ref="O169:P169"/>
    <mergeCell ref="AD169:AE169"/>
    <mergeCell ref="AF169:AG169"/>
    <mergeCell ref="AB160:AC160"/>
    <mergeCell ref="AB165:AB166"/>
    <mergeCell ref="S144:T144"/>
    <mergeCell ref="AB196:AC196"/>
    <mergeCell ref="T205:T206"/>
    <mergeCell ref="S205:S210"/>
    <mergeCell ref="S212:T212"/>
    <mergeCell ref="S148:S150"/>
    <mergeCell ref="AD49:AE49"/>
    <mergeCell ref="AF49:AG49"/>
    <mergeCell ref="AD50:AD51"/>
    <mergeCell ref="AB42:AC43"/>
    <mergeCell ref="AD42:AE42"/>
    <mergeCell ref="AF42:AG42"/>
    <mergeCell ref="AB45:AC45"/>
    <mergeCell ref="AB46:AC46"/>
    <mergeCell ref="AG50:AG51"/>
    <mergeCell ref="AE50:AE51"/>
    <mergeCell ref="AF50:AF51"/>
    <mergeCell ref="AB50:AC50"/>
    <mergeCell ref="O42:P42"/>
    <mergeCell ref="K45:L45"/>
    <mergeCell ref="M49:N49"/>
    <mergeCell ref="O49:P49"/>
    <mergeCell ref="K46:L46"/>
    <mergeCell ref="M50:M51"/>
    <mergeCell ref="N50:N51"/>
    <mergeCell ref="O50:O51"/>
    <mergeCell ref="P50:P51"/>
    <mergeCell ref="K50:L50"/>
    <mergeCell ref="K51:L51"/>
    <mergeCell ref="L229:L230"/>
    <mergeCell ref="B217:B218"/>
    <mergeCell ref="L205:L206"/>
    <mergeCell ref="L207:L208"/>
    <mergeCell ref="K214:L214"/>
    <mergeCell ref="B213:C213"/>
    <mergeCell ref="K212:L212"/>
    <mergeCell ref="K42:L43"/>
    <mergeCell ref="M42:N42"/>
    <mergeCell ref="K170:L170"/>
    <mergeCell ref="B151:B152"/>
    <mergeCell ref="B153:B158"/>
    <mergeCell ref="C153:C154"/>
    <mergeCell ref="C155:C156"/>
    <mergeCell ref="C157:C158"/>
    <mergeCell ref="K196:L196"/>
    <mergeCell ref="C205:C206"/>
    <mergeCell ref="K144:L144"/>
    <mergeCell ref="K148:K150"/>
    <mergeCell ref="K151:K152"/>
    <mergeCell ref="B144:C144"/>
    <mergeCell ref="B148:B150"/>
    <mergeCell ref="B165:B166"/>
    <mergeCell ref="K165:K166"/>
    <mergeCell ref="L231:L232"/>
    <mergeCell ref="L233:L234"/>
    <mergeCell ref="K200:K202"/>
    <mergeCell ref="B200:B202"/>
    <mergeCell ref="K213:L213"/>
    <mergeCell ref="B212:C212"/>
    <mergeCell ref="S214:T214"/>
    <mergeCell ref="AC274:AC275"/>
    <mergeCell ref="B214:C214"/>
    <mergeCell ref="K217:K218"/>
    <mergeCell ref="C207:C208"/>
    <mergeCell ref="C209:C210"/>
    <mergeCell ref="L209:L210"/>
    <mergeCell ref="K240:L240"/>
    <mergeCell ref="S213:T213"/>
    <mergeCell ref="AB213:AC213"/>
    <mergeCell ref="AB270:AB271"/>
    <mergeCell ref="AB250:AB252"/>
    <mergeCell ref="K250:K252"/>
    <mergeCell ref="K245:K247"/>
    <mergeCell ref="AB245:AB247"/>
    <mergeCell ref="AB267:AB269"/>
    <mergeCell ref="B211:C211"/>
    <mergeCell ref="K211:L211"/>
    <mergeCell ref="AB280:AB281"/>
    <mergeCell ref="AB217:AB218"/>
    <mergeCell ref="S217:S218"/>
    <mergeCell ref="AB257:AB259"/>
    <mergeCell ref="AB263:AC263"/>
    <mergeCell ref="AB240:AC240"/>
    <mergeCell ref="AB214:AC214"/>
    <mergeCell ref="AB272:AB277"/>
    <mergeCell ref="AC272:AC273"/>
    <mergeCell ref="AC276:AC277"/>
    <mergeCell ref="AB212:AC212"/>
    <mergeCell ref="AB200:AB202"/>
    <mergeCell ref="T183:T184"/>
    <mergeCell ref="S185:T185"/>
    <mergeCell ref="S191:S192"/>
    <mergeCell ref="AB211:AC211"/>
    <mergeCell ref="S211:T211"/>
    <mergeCell ref="T179:T180"/>
    <mergeCell ref="B170:C170"/>
    <mergeCell ref="AB174:AB176"/>
    <mergeCell ref="K203:K204"/>
    <mergeCell ref="B196:C196"/>
    <mergeCell ref="B203:B204"/>
    <mergeCell ref="K205:K210"/>
    <mergeCell ref="B205:B210"/>
    <mergeCell ref="S200:S202"/>
    <mergeCell ref="T181:T182"/>
    <mergeCell ref="S186:T186"/>
    <mergeCell ref="S190:T190"/>
    <mergeCell ref="S188:T188"/>
    <mergeCell ref="AB177:AB178"/>
    <mergeCell ref="S203:S204"/>
    <mergeCell ref="S187:T187"/>
    <mergeCell ref="AB191:AB192"/>
    <mergeCell ref="S164:T164"/>
    <mergeCell ref="B161:C161"/>
    <mergeCell ref="K153:K158"/>
    <mergeCell ref="S159:T159"/>
    <mergeCell ref="B159:C159"/>
    <mergeCell ref="B162:C162"/>
    <mergeCell ref="B160:C160"/>
    <mergeCell ref="AB162:AC162"/>
    <mergeCell ref="AC155:AC156"/>
    <mergeCell ref="AB161:AC161"/>
    <mergeCell ref="B164:C164"/>
    <mergeCell ref="L153:L154"/>
    <mergeCell ref="L155:L156"/>
    <mergeCell ref="L157:L158"/>
    <mergeCell ref="K160:L160"/>
    <mergeCell ref="K161:L161"/>
    <mergeCell ref="K162:L162"/>
    <mergeCell ref="S162:T162"/>
    <mergeCell ref="S161:T161"/>
    <mergeCell ref="T153:T154"/>
    <mergeCell ref="T155:T156"/>
    <mergeCell ref="K159:L159"/>
    <mergeCell ref="S160:T160"/>
    <mergeCell ref="B34:C35"/>
    <mergeCell ref="B4:C4"/>
    <mergeCell ref="M239:N239"/>
    <mergeCell ref="O239:P239"/>
    <mergeCell ref="AD220:AE220"/>
    <mergeCell ref="AF220:AG220"/>
    <mergeCell ref="AB221:AC221"/>
    <mergeCell ref="AB224:AB226"/>
    <mergeCell ref="AB227:AB228"/>
    <mergeCell ref="AB229:AB234"/>
    <mergeCell ref="AC229:AC230"/>
    <mergeCell ref="AC231:AC232"/>
    <mergeCell ref="AC233:AC234"/>
    <mergeCell ref="AB235:AC235"/>
    <mergeCell ref="K235:L235"/>
    <mergeCell ref="M220:N220"/>
    <mergeCell ref="O220:P220"/>
    <mergeCell ref="K221:L221"/>
    <mergeCell ref="K224:K226"/>
    <mergeCell ref="K227:K228"/>
    <mergeCell ref="K229:K234"/>
    <mergeCell ref="B49:C50"/>
    <mergeCell ref="S49:T50"/>
    <mergeCell ref="B125:E125"/>
  </mergeCells>
  <phoneticPr fontId="0" type="noConversion"/>
  <pageMargins left="0.75" right="0.75" top="1" bottom="1" header="0.5" footer="0.5"/>
  <pageSetup paperSize="9" orientation="portrait" horizontalDpi="300" verticalDpi="300" r:id="rId1"/>
  <headerFooter alignWithMargins="0"/>
  <ignoredErrors>
    <ignoredError sqref="D39"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02"/>
  <sheetViews>
    <sheetView zoomScale="70" zoomScaleNormal="70" workbookViewId="0">
      <selection activeCell="B13" sqref="B13:F40"/>
    </sheetView>
  </sheetViews>
  <sheetFormatPr defaultRowHeight="12.75" x14ac:dyDescent="0.2"/>
  <cols>
    <col min="1" max="1" width="3.42578125" style="1" customWidth="1"/>
    <col min="2" max="2" width="13.5703125" customWidth="1"/>
    <col min="3" max="3" width="13.28515625" customWidth="1"/>
    <col min="4" max="4" width="7.5703125" customWidth="1"/>
    <col min="5" max="10" width="7.42578125" customWidth="1"/>
    <col min="11" max="11" width="18" customWidth="1"/>
    <col min="12" max="12" width="12.42578125" customWidth="1"/>
    <col min="13" max="13" width="37.140625" style="1" customWidth="1"/>
    <col min="14" max="14" width="5.7109375" style="1" customWidth="1"/>
    <col min="15" max="15" width="13.5703125" customWidth="1"/>
    <col min="16" max="16" width="12.7109375" customWidth="1"/>
    <col min="17" max="17" width="7.85546875" customWidth="1"/>
    <col min="18" max="23" width="7.42578125" customWidth="1"/>
    <col min="24" max="24" width="19.42578125" customWidth="1"/>
    <col min="25" max="25" width="12.42578125" customWidth="1"/>
    <col min="26" max="26" width="37.140625" style="1" customWidth="1"/>
    <col min="27" max="28" width="8.85546875" style="1"/>
  </cols>
  <sheetData>
    <row r="1" spans="1:29" s="6" customFormat="1" ht="12" customHeight="1" x14ac:dyDescent="0.2">
      <c r="A1" s="19"/>
      <c r="B1" s="19"/>
      <c r="C1" s="19"/>
      <c r="D1" s="19"/>
      <c r="E1" s="19"/>
      <c r="F1" s="19"/>
      <c r="G1" s="19"/>
      <c r="H1" s="19"/>
      <c r="I1" s="19"/>
      <c r="J1" s="19"/>
      <c r="K1" s="19"/>
      <c r="L1" s="19"/>
      <c r="M1" s="32"/>
      <c r="N1" s="32"/>
      <c r="O1" s="32"/>
      <c r="P1" s="32"/>
      <c r="Q1" s="32"/>
      <c r="R1" s="32"/>
      <c r="S1" s="32"/>
      <c r="T1" s="32"/>
      <c r="U1" s="32"/>
      <c r="V1" s="32"/>
      <c r="W1" s="32"/>
      <c r="X1" s="32"/>
      <c r="Y1" s="32"/>
      <c r="Z1" s="32"/>
      <c r="AA1" s="32"/>
      <c r="AB1" s="32"/>
    </row>
    <row r="2" spans="1:29" s="6" customFormat="1" ht="12" customHeight="1" x14ac:dyDescent="0.2">
      <c r="A2" s="19"/>
      <c r="B2" s="19"/>
      <c r="C2" s="19"/>
      <c r="D2" s="19"/>
      <c r="E2" s="19"/>
      <c r="F2" s="19"/>
      <c r="G2" s="19"/>
      <c r="H2" s="19"/>
      <c r="I2" s="19"/>
      <c r="J2" s="19"/>
      <c r="K2" s="19"/>
      <c r="L2" s="19"/>
      <c r="M2" s="32"/>
      <c r="N2" s="32"/>
      <c r="O2" s="32"/>
      <c r="P2" s="32"/>
      <c r="Q2" s="32"/>
      <c r="R2" s="32"/>
      <c r="S2" s="32"/>
      <c r="T2" s="32"/>
      <c r="U2" s="32"/>
      <c r="V2" s="32"/>
      <c r="W2" s="32"/>
      <c r="X2" s="32"/>
      <c r="Y2" s="32"/>
      <c r="Z2" s="32" t="s">
        <v>123</v>
      </c>
      <c r="AA2" s="32"/>
      <c r="AB2" s="32"/>
    </row>
    <row r="3" spans="1:29" s="6" customFormat="1" ht="12" customHeight="1" x14ac:dyDescent="0.2">
      <c r="A3" s="19"/>
      <c r="B3" s="19"/>
      <c r="C3" s="19"/>
      <c r="D3" s="19"/>
      <c r="E3" s="19"/>
      <c r="F3" s="19"/>
      <c r="G3" s="19"/>
      <c r="H3" s="19"/>
      <c r="I3" s="19"/>
      <c r="J3" s="19"/>
      <c r="K3" s="19"/>
      <c r="L3" s="19"/>
      <c r="M3" s="32"/>
      <c r="N3" s="32"/>
      <c r="O3" s="32"/>
      <c r="P3" s="249"/>
      <c r="Q3" s="250"/>
      <c r="R3" s="251" t="s">
        <v>118</v>
      </c>
      <c r="S3" s="326">
        <f>Sheet1!W13</f>
        <v>0.06</v>
      </c>
      <c r="T3" s="32"/>
      <c r="U3" s="32"/>
      <c r="V3" s="32"/>
      <c r="W3" s="32"/>
      <c r="X3" s="32"/>
      <c r="Y3" s="32"/>
      <c r="Z3" s="32" t="s">
        <v>119</v>
      </c>
      <c r="AA3" s="32"/>
      <c r="AB3" s="32"/>
    </row>
    <row r="4" spans="1:29" s="6" customFormat="1" ht="12" customHeight="1" x14ac:dyDescent="0.2">
      <c r="A4" s="19"/>
      <c r="B4" s="19"/>
      <c r="C4" s="19"/>
      <c r="D4" s="19"/>
      <c r="E4" s="19"/>
      <c r="F4" s="19"/>
      <c r="G4" s="19"/>
      <c r="H4" s="19"/>
      <c r="I4" s="19"/>
      <c r="J4" s="19"/>
      <c r="K4" s="19"/>
      <c r="L4" s="19"/>
      <c r="M4" s="32"/>
      <c r="N4" s="32"/>
      <c r="O4" s="32"/>
      <c r="P4" s="32"/>
      <c r="Q4" s="32"/>
      <c r="R4" s="32"/>
      <c r="S4" s="32"/>
      <c r="T4" s="32"/>
      <c r="U4" s="32"/>
      <c r="V4" s="32"/>
      <c r="W4" s="32"/>
      <c r="X4" s="32"/>
      <c r="Y4" s="32"/>
      <c r="Z4" s="32" t="s">
        <v>120</v>
      </c>
      <c r="AA4" s="32"/>
      <c r="AB4" s="32"/>
    </row>
    <row r="5" spans="1:29" s="6" customFormat="1" ht="12" customHeight="1" x14ac:dyDescent="0.2">
      <c r="A5" s="19"/>
      <c r="B5" s="19"/>
      <c r="C5" s="19"/>
      <c r="D5" s="19"/>
      <c r="E5" s="19"/>
      <c r="F5" s="19"/>
      <c r="G5" s="19"/>
      <c r="H5" s="19"/>
      <c r="I5" s="19"/>
      <c r="J5" s="19"/>
      <c r="K5" s="19"/>
      <c r="L5" s="19"/>
      <c r="M5" s="32"/>
      <c r="N5" s="32"/>
      <c r="O5" s="32"/>
      <c r="P5" s="32"/>
      <c r="Q5" s="32"/>
      <c r="R5" s="18" t="s">
        <v>66</v>
      </c>
      <c r="S5" s="38" t="str">
        <f>F46</f>
        <v>Pre1</v>
      </c>
      <c r="T5" s="38" t="str">
        <f>G46</f>
        <v>Pre2</v>
      </c>
      <c r="U5" s="38" t="str">
        <f>H46</f>
        <v>Post1</v>
      </c>
      <c r="V5" s="38" t="str">
        <f>I46</f>
        <v>Post2</v>
      </c>
      <c r="W5" s="38" t="str">
        <f>J46</f>
        <v>Post3</v>
      </c>
      <c r="X5" s="32"/>
      <c r="Y5" s="32"/>
      <c r="Z5" s="32" t="s">
        <v>121</v>
      </c>
      <c r="AA5" s="32"/>
      <c r="AB5" s="32"/>
    </row>
    <row r="6" spans="1:29" s="6" customFormat="1" ht="12" customHeight="1" x14ac:dyDescent="0.2">
      <c r="A6" s="19"/>
      <c r="B6" s="19"/>
      <c r="C6" s="19"/>
      <c r="D6" s="19"/>
      <c r="E6" s="19"/>
      <c r="F6" s="19"/>
      <c r="G6" s="19"/>
      <c r="H6" s="19"/>
      <c r="I6" s="19"/>
      <c r="J6" s="19"/>
      <c r="K6" s="19"/>
      <c r="L6" s="19"/>
      <c r="M6" s="32"/>
      <c r="N6" s="32"/>
      <c r="O6" s="32"/>
      <c r="P6" s="32"/>
      <c r="Q6" s="32"/>
      <c r="R6" s="32" t="str">
        <f>B47</f>
        <v>Control</v>
      </c>
      <c r="S6" s="32"/>
      <c r="T6" s="32"/>
      <c r="U6" s="32"/>
      <c r="V6" s="32"/>
      <c r="W6" s="32"/>
      <c r="X6" s="32"/>
      <c r="Y6" s="32"/>
      <c r="Z6" s="32" t="s">
        <v>122</v>
      </c>
      <c r="AA6" s="32"/>
      <c r="AB6" s="32"/>
    </row>
    <row r="7" spans="1:29" s="6" customFormat="1" ht="12" customHeight="1" x14ac:dyDescent="0.2">
      <c r="A7" s="19"/>
      <c r="B7" s="19"/>
      <c r="C7" s="19"/>
      <c r="D7" s="19"/>
      <c r="E7" s="19"/>
      <c r="F7" s="19"/>
      <c r="G7" s="19"/>
      <c r="H7" s="19"/>
      <c r="I7" s="19"/>
      <c r="J7" s="19"/>
      <c r="K7" s="19"/>
      <c r="L7" s="19"/>
      <c r="M7" s="32"/>
      <c r="N7" s="32" t="s">
        <v>132</v>
      </c>
      <c r="O7" s="32"/>
      <c r="P7" s="32"/>
      <c r="Q7" s="32"/>
      <c r="R7" s="18" t="s">
        <v>124</v>
      </c>
      <c r="S7" s="39">
        <f>F44-$S$3</f>
        <v>0.94</v>
      </c>
      <c r="T7" s="39">
        <f>G44-$S$3</f>
        <v>1.94</v>
      </c>
      <c r="U7" s="39">
        <f>H44-$S$3</f>
        <v>2.94</v>
      </c>
      <c r="V7" s="39">
        <f>I44-$S$3</f>
        <v>3.94</v>
      </c>
      <c r="W7" s="39">
        <f>J44-$S$3</f>
        <v>4.9400000000000004</v>
      </c>
      <c r="X7" s="32"/>
      <c r="Y7" s="32"/>
      <c r="Z7" s="32"/>
      <c r="AA7" s="32"/>
      <c r="AB7" s="32"/>
    </row>
    <row r="8" spans="1:29" s="6" customFormat="1" ht="12" customHeight="1" x14ac:dyDescent="0.2">
      <c r="A8" s="19"/>
      <c r="B8" s="19"/>
      <c r="C8" s="19"/>
      <c r="D8" s="19"/>
      <c r="E8" s="19"/>
      <c r="F8" s="19"/>
      <c r="G8" s="19"/>
      <c r="H8" s="19"/>
      <c r="I8" s="19"/>
      <c r="J8" s="19"/>
      <c r="K8" s="19"/>
      <c r="L8" s="19"/>
      <c r="M8" s="32"/>
      <c r="N8" s="32" t="s">
        <v>133</v>
      </c>
      <c r="O8" s="32"/>
      <c r="P8" s="32"/>
      <c r="Q8" s="32"/>
      <c r="R8" s="25" t="s">
        <v>67</v>
      </c>
      <c r="S8" s="41">
        <f t="shared" ref="S8:W9" si="0">F67</f>
        <v>0</v>
      </c>
      <c r="T8" s="41">
        <f t="shared" si="0"/>
        <v>0</v>
      </c>
      <c r="U8" s="41">
        <f t="shared" si="0"/>
        <v>2.2150000000000034</v>
      </c>
      <c r="V8" s="41">
        <f t="shared" si="0"/>
        <v>-1.6900000000000006</v>
      </c>
      <c r="W8" s="41">
        <f t="shared" si="0"/>
        <v>-1.7599999999999938</v>
      </c>
      <c r="X8" s="32"/>
      <c r="Y8" s="32"/>
      <c r="Z8" s="32"/>
      <c r="AA8" s="32"/>
      <c r="AB8" s="32"/>
    </row>
    <row r="9" spans="1:29" s="6" customFormat="1" ht="12" customHeight="1" x14ac:dyDescent="0.2">
      <c r="A9" s="19"/>
      <c r="B9" s="19"/>
      <c r="C9" s="19"/>
      <c r="D9" s="19"/>
      <c r="E9" s="19"/>
      <c r="F9" s="19"/>
      <c r="G9" s="19"/>
      <c r="H9" s="19"/>
      <c r="I9" s="19"/>
      <c r="J9" s="19"/>
      <c r="K9" s="19"/>
      <c r="L9" s="19"/>
      <c r="M9" s="32"/>
      <c r="N9" s="32" t="s">
        <v>134</v>
      </c>
      <c r="O9" s="32"/>
      <c r="P9" s="32"/>
      <c r="Q9" s="32"/>
      <c r="R9" s="18" t="s">
        <v>68</v>
      </c>
      <c r="S9" s="42">
        <f t="shared" si="0"/>
        <v>0</v>
      </c>
      <c r="T9" s="42">
        <f t="shared" si="0"/>
        <v>0</v>
      </c>
      <c r="U9" s="42">
        <f t="shared" si="0"/>
        <v>5.4677066297922083</v>
      </c>
      <c r="V9" s="42">
        <f t="shared" si="0"/>
        <v>7.3792489990156529</v>
      </c>
      <c r="W9" s="42">
        <f t="shared" si="0"/>
        <v>6.0228643299382121</v>
      </c>
      <c r="X9" s="32"/>
      <c r="Y9" s="32"/>
      <c r="Z9" s="32"/>
      <c r="AA9" s="32"/>
      <c r="AB9" s="32"/>
    </row>
    <row r="10" spans="1:29" s="6" customFormat="1" ht="12" customHeight="1" x14ac:dyDescent="0.2">
      <c r="A10" s="19"/>
      <c r="B10" s="19"/>
      <c r="C10" s="19"/>
      <c r="D10" s="19"/>
      <c r="E10" s="19"/>
      <c r="F10" s="19"/>
      <c r="G10" s="19"/>
      <c r="H10" s="19"/>
      <c r="I10" s="19"/>
      <c r="J10" s="19"/>
      <c r="K10" s="19"/>
      <c r="L10" s="19"/>
      <c r="M10" s="32"/>
      <c r="N10" s="32" t="s">
        <v>128</v>
      </c>
      <c r="O10" s="32"/>
      <c r="P10" s="32"/>
      <c r="Q10" s="32"/>
      <c r="R10" s="18" t="s">
        <v>69</v>
      </c>
      <c r="S10" s="42">
        <f>F68</f>
        <v>0</v>
      </c>
      <c r="T10" s="42">
        <f>G68</f>
        <v>0</v>
      </c>
      <c r="U10" s="42">
        <f>H68</f>
        <v>5.4677066297922083</v>
      </c>
      <c r="V10" s="42">
        <f>I68</f>
        <v>7.3792489990156529</v>
      </c>
      <c r="W10" s="42">
        <f>J68</f>
        <v>6.0228643299382121</v>
      </c>
      <c r="X10" s="32"/>
      <c r="Y10" s="32"/>
      <c r="Z10" s="32"/>
      <c r="AA10" s="48"/>
      <c r="AB10" s="48"/>
      <c r="AC10" s="7"/>
    </row>
    <row r="11" spans="1:29" s="6" customFormat="1" ht="12" customHeight="1" x14ac:dyDescent="0.2">
      <c r="A11" s="19"/>
      <c r="B11" s="19"/>
      <c r="C11" s="19"/>
      <c r="D11" s="19"/>
      <c r="E11" s="19"/>
      <c r="F11" s="19"/>
      <c r="G11" s="19"/>
      <c r="H11" s="19"/>
      <c r="I11" s="19"/>
      <c r="J11" s="19"/>
      <c r="K11" s="19"/>
      <c r="L11" s="19"/>
      <c r="M11" s="32"/>
      <c r="N11" s="32" t="s">
        <v>129</v>
      </c>
      <c r="O11" s="32"/>
      <c r="P11" s="32"/>
      <c r="Q11" s="32"/>
      <c r="R11" s="32" t="str">
        <f>B76</f>
        <v>Exptal</v>
      </c>
      <c r="S11" s="32"/>
      <c r="T11" s="32"/>
      <c r="U11" s="32"/>
      <c r="V11" s="32"/>
      <c r="W11" s="32"/>
      <c r="X11" s="32"/>
      <c r="Y11" s="32"/>
      <c r="Z11" s="32"/>
      <c r="AA11" s="48"/>
      <c r="AB11" s="48"/>
      <c r="AC11" s="7"/>
    </row>
    <row r="12" spans="1:29" s="6" customFormat="1" ht="12" customHeight="1" x14ac:dyDescent="0.2">
      <c r="A12" s="19"/>
      <c r="B12" s="665" t="s">
        <v>168</v>
      </c>
      <c r="C12" s="665"/>
      <c r="D12" s="665"/>
      <c r="E12" s="665"/>
      <c r="F12" s="665"/>
      <c r="G12" s="19"/>
      <c r="H12" s="19"/>
      <c r="I12" s="19"/>
      <c r="J12" s="19"/>
      <c r="K12" s="19"/>
      <c r="L12" s="19"/>
      <c r="M12" s="32"/>
      <c r="N12" s="32" t="s">
        <v>130</v>
      </c>
      <c r="O12" s="32"/>
      <c r="P12" s="32"/>
      <c r="Q12" s="32"/>
      <c r="R12" s="18" t="s">
        <v>124</v>
      </c>
      <c r="S12" s="39">
        <f>F44+$S$3</f>
        <v>1.06</v>
      </c>
      <c r="T12" s="39">
        <f>G44+$S$3</f>
        <v>2.06</v>
      </c>
      <c r="U12" s="39">
        <f>H44+$S$3</f>
        <v>3.06</v>
      </c>
      <c r="V12" s="39">
        <f>I44+$S$3</f>
        <v>4.0599999999999996</v>
      </c>
      <c r="W12" s="39">
        <f>J44+$S$3</f>
        <v>5.0599999999999996</v>
      </c>
      <c r="X12" s="32"/>
      <c r="Y12" s="32"/>
      <c r="Z12" s="32"/>
      <c r="AA12" s="48"/>
      <c r="AB12" s="48"/>
      <c r="AC12" s="7"/>
    </row>
    <row r="13" spans="1:29" s="6" customFormat="1" ht="12" customHeight="1" x14ac:dyDescent="0.2">
      <c r="A13" s="19"/>
      <c r="B13" s="666" t="s">
        <v>179</v>
      </c>
      <c r="C13" s="666"/>
      <c r="D13" s="666"/>
      <c r="E13" s="666"/>
      <c r="F13" s="666"/>
      <c r="G13" s="19"/>
      <c r="H13" s="19"/>
      <c r="I13" s="19"/>
      <c r="J13" s="19"/>
      <c r="K13" s="19"/>
      <c r="L13" s="19"/>
      <c r="M13" s="32"/>
      <c r="N13" s="32" t="s">
        <v>131</v>
      </c>
      <c r="O13" s="32"/>
      <c r="P13" s="32"/>
      <c r="Q13" s="32"/>
      <c r="R13" s="25" t="s">
        <v>67</v>
      </c>
      <c r="S13" s="43">
        <f t="shared" ref="S13:W14" si="1">F96</f>
        <v>0</v>
      </c>
      <c r="T13" s="43">
        <f t="shared" si="1"/>
        <v>0</v>
      </c>
      <c r="U13" s="43">
        <f t="shared" si="1"/>
        <v>10.66500000000001</v>
      </c>
      <c r="V13" s="43">
        <f t="shared" si="1"/>
        <v>6.5500000000000114</v>
      </c>
      <c r="W13" s="43">
        <f t="shared" si="1"/>
        <v>5.1500000000000083</v>
      </c>
      <c r="X13" s="32"/>
      <c r="Y13" s="32"/>
      <c r="Z13" s="32"/>
      <c r="AA13" s="32"/>
      <c r="AB13" s="32"/>
    </row>
    <row r="14" spans="1:29" s="6" customFormat="1" ht="12" customHeight="1" x14ac:dyDescent="0.2">
      <c r="A14" s="19"/>
      <c r="B14" s="667"/>
      <c r="C14" s="667"/>
      <c r="D14" s="667"/>
      <c r="E14" s="667"/>
      <c r="F14" s="667"/>
      <c r="G14" s="19"/>
      <c r="H14" s="19"/>
      <c r="I14" s="19"/>
      <c r="J14" s="19"/>
      <c r="K14" s="19"/>
      <c r="L14" s="19"/>
      <c r="M14" s="32"/>
      <c r="N14" s="32"/>
      <c r="O14" s="32"/>
      <c r="P14" s="19"/>
      <c r="Q14" s="19"/>
      <c r="R14" s="18" t="s">
        <v>68</v>
      </c>
      <c r="S14" s="43">
        <f t="shared" si="1"/>
        <v>0</v>
      </c>
      <c r="T14" s="43">
        <f t="shared" si="1"/>
        <v>0</v>
      </c>
      <c r="U14" s="43">
        <f t="shared" si="1"/>
        <v>8.5332183723067647</v>
      </c>
      <c r="V14" s="43">
        <f t="shared" si="1"/>
        <v>12.765238571584696</v>
      </c>
      <c r="W14" s="43">
        <f t="shared" si="1"/>
        <v>11.344613839082163</v>
      </c>
      <c r="X14" s="32"/>
      <c r="Y14" s="32"/>
      <c r="Z14" s="32"/>
      <c r="AA14" s="32"/>
      <c r="AB14" s="32"/>
    </row>
    <row r="15" spans="1:29" s="6" customFormat="1" ht="12" customHeight="1" x14ac:dyDescent="0.2">
      <c r="A15" s="19"/>
      <c r="B15" s="667"/>
      <c r="C15" s="667"/>
      <c r="D15" s="667"/>
      <c r="E15" s="667"/>
      <c r="F15" s="667"/>
      <c r="G15" s="19"/>
      <c r="H15" s="19"/>
      <c r="I15" s="19"/>
      <c r="J15" s="19"/>
      <c r="K15" s="19"/>
      <c r="L15" s="19"/>
      <c r="M15" s="32"/>
      <c r="N15" s="32"/>
      <c r="O15" s="32"/>
      <c r="P15" s="32"/>
      <c r="Q15" s="32"/>
      <c r="R15" s="18" t="s">
        <v>69</v>
      </c>
      <c r="S15" s="43">
        <f>F97</f>
        <v>0</v>
      </c>
      <c r="T15" s="43">
        <f>G97</f>
        <v>0</v>
      </c>
      <c r="U15" s="43">
        <f>H97</f>
        <v>8.5332183723067647</v>
      </c>
      <c r="V15" s="43">
        <f>I97</f>
        <v>12.765238571584696</v>
      </c>
      <c r="W15" s="43">
        <f>J97</f>
        <v>11.344613839082163</v>
      </c>
      <c r="X15" s="32"/>
      <c r="Y15" s="32"/>
      <c r="Z15" s="32"/>
      <c r="AA15" s="32"/>
      <c r="AB15" s="32"/>
    </row>
    <row r="16" spans="1:29" s="6" customFormat="1" ht="12" customHeight="1" x14ac:dyDescent="0.2">
      <c r="A16" s="19"/>
      <c r="B16" s="667"/>
      <c r="C16" s="667"/>
      <c r="D16" s="667"/>
      <c r="E16" s="667"/>
      <c r="F16" s="667"/>
      <c r="G16" s="19"/>
      <c r="H16" s="19"/>
      <c r="I16" s="19"/>
      <c r="J16" s="19"/>
      <c r="K16" s="19"/>
      <c r="L16" s="19"/>
      <c r="M16" s="32"/>
      <c r="N16" s="32"/>
      <c r="O16" s="32"/>
      <c r="P16" s="32"/>
      <c r="Q16" s="32"/>
      <c r="R16" s="32"/>
      <c r="S16" s="32"/>
      <c r="T16" s="32"/>
      <c r="U16" s="32"/>
      <c r="V16" s="32"/>
      <c r="W16" s="32"/>
      <c r="X16" s="32"/>
      <c r="Y16" s="32"/>
      <c r="Z16" s="32"/>
      <c r="AA16" s="32"/>
      <c r="AB16" s="32"/>
    </row>
    <row r="17" spans="1:29" s="6" customFormat="1" ht="12" customHeight="1" x14ac:dyDescent="0.2">
      <c r="A17" s="19"/>
      <c r="B17" s="667"/>
      <c r="C17" s="667"/>
      <c r="D17" s="667"/>
      <c r="E17" s="667"/>
      <c r="F17" s="667"/>
      <c r="G17" s="19"/>
      <c r="H17" s="19"/>
      <c r="I17" s="19"/>
      <c r="J17" s="19"/>
      <c r="K17" s="19"/>
      <c r="L17" s="19"/>
      <c r="M17" s="32"/>
      <c r="N17" s="32"/>
      <c r="O17" s="32"/>
      <c r="P17" s="32"/>
      <c r="Q17" s="32"/>
      <c r="R17" s="32"/>
      <c r="S17" s="32"/>
      <c r="T17" s="32"/>
      <c r="U17" s="32"/>
      <c r="V17" s="32"/>
      <c r="W17" s="32"/>
      <c r="X17" s="32"/>
      <c r="Y17" s="32"/>
      <c r="Z17" s="32"/>
      <c r="AA17" s="32"/>
      <c r="AB17" s="32"/>
    </row>
    <row r="18" spans="1:29" s="6" customFormat="1" ht="12" customHeight="1" x14ac:dyDescent="0.2">
      <c r="A18" s="19"/>
      <c r="B18" s="667"/>
      <c r="C18" s="667"/>
      <c r="D18" s="667"/>
      <c r="E18" s="667"/>
      <c r="F18" s="667"/>
      <c r="G18" s="19"/>
      <c r="H18" s="19"/>
      <c r="I18" s="19"/>
      <c r="J18" s="19"/>
      <c r="K18" s="19"/>
      <c r="L18" s="19"/>
      <c r="M18" s="32"/>
      <c r="N18" s="32"/>
      <c r="O18" s="32"/>
      <c r="P18" s="32"/>
      <c r="Q18" s="37" t="s">
        <v>164</v>
      </c>
      <c r="R18" s="109"/>
      <c r="S18" s="32"/>
      <c r="T18" s="32"/>
      <c r="U18" s="32"/>
      <c r="V18" s="32"/>
      <c r="W18" s="32"/>
      <c r="X18" s="32"/>
      <c r="Y18" s="32"/>
      <c r="Z18" s="32"/>
      <c r="AA18" s="32"/>
      <c r="AB18" s="32"/>
    </row>
    <row r="19" spans="1:29" ht="12" customHeight="1" x14ac:dyDescent="0.2">
      <c r="A19" s="19"/>
      <c r="B19" s="667"/>
      <c r="C19" s="667"/>
      <c r="D19" s="667"/>
      <c r="E19" s="667"/>
      <c r="F19" s="667"/>
      <c r="G19" s="19"/>
      <c r="H19" s="19"/>
      <c r="I19" s="19"/>
      <c r="J19" s="19"/>
      <c r="K19" s="19"/>
      <c r="L19" s="19"/>
      <c r="M19" s="19"/>
      <c r="N19" s="19"/>
      <c r="O19" s="19"/>
      <c r="P19" s="32"/>
      <c r="Q19" s="32"/>
      <c r="R19" s="18" t="s">
        <v>66</v>
      </c>
      <c r="S19" s="38" t="str">
        <f t="shared" ref="S19:W19" si="2">S46</f>
        <v>Pre1</v>
      </c>
      <c r="T19" s="38" t="str">
        <f t="shared" si="2"/>
        <v>Pre2</v>
      </c>
      <c r="U19" s="38" t="str">
        <f t="shared" si="2"/>
        <v>Post1</v>
      </c>
      <c r="V19" s="38" t="str">
        <f t="shared" si="2"/>
        <v>Post2</v>
      </c>
      <c r="W19" s="38" t="str">
        <f t="shared" si="2"/>
        <v>Post3</v>
      </c>
      <c r="X19" s="19"/>
      <c r="Y19" s="19"/>
      <c r="Z19" s="19"/>
      <c r="AA19" s="19"/>
      <c r="AB19" s="19"/>
    </row>
    <row r="20" spans="1:29" s="6" customFormat="1" ht="12" customHeight="1" x14ac:dyDescent="0.2">
      <c r="A20" s="19"/>
      <c r="B20" s="667"/>
      <c r="C20" s="667"/>
      <c r="D20" s="667"/>
      <c r="E20" s="667"/>
      <c r="F20" s="667"/>
      <c r="G20" s="19"/>
      <c r="H20" s="19"/>
      <c r="I20" s="19"/>
      <c r="J20" s="19"/>
      <c r="K20" s="19"/>
      <c r="L20" s="19"/>
      <c r="M20" s="32"/>
      <c r="N20" s="32"/>
      <c r="O20" s="32"/>
      <c r="P20" s="19"/>
      <c r="Q20" s="19"/>
      <c r="R20" s="32" t="str">
        <f>O47</f>
        <v>Control</v>
      </c>
      <c r="S20" s="32"/>
      <c r="T20" s="32"/>
      <c r="U20" s="32"/>
      <c r="V20" s="32"/>
      <c r="W20" s="32"/>
      <c r="X20" s="32"/>
      <c r="Y20" s="32"/>
      <c r="Z20" s="32"/>
      <c r="AA20" s="32"/>
      <c r="AB20" s="32"/>
    </row>
    <row r="21" spans="1:29" s="6" customFormat="1" ht="12" customHeight="1" x14ac:dyDescent="0.2">
      <c r="A21" s="19"/>
      <c r="B21" s="667"/>
      <c r="C21" s="667"/>
      <c r="D21" s="667"/>
      <c r="E21" s="667"/>
      <c r="F21" s="667"/>
      <c r="G21" s="19"/>
      <c r="H21" s="19"/>
      <c r="I21" s="19"/>
      <c r="J21" s="19"/>
      <c r="K21" s="19"/>
      <c r="L21" s="19"/>
      <c r="M21" s="32"/>
      <c r="N21" s="32"/>
      <c r="O21" s="32"/>
      <c r="P21" s="19"/>
      <c r="Q21" s="19"/>
      <c r="R21" s="18" t="s">
        <v>124</v>
      </c>
      <c r="S21" s="283">
        <f t="shared" ref="S21:W21" si="3">S44-$S$3</f>
        <v>0.94</v>
      </c>
      <c r="T21" s="283">
        <f t="shared" si="3"/>
        <v>1.94</v>
      </c>
      <c r="U21" s="283">
        <f t="shared" si="3"/>
        <v>2.94</v>
      </c>
      <c r="V21" s="283">
        <f t="shared" si="3"/>
        <v>3.94</v>
      </c>
      <c r="W21" s="283">
        <f t="shared" si="3"/>
        <v>4.9400000000000004</v>
      </c>
      <c r="X21" s="32"/>
      <c r="Y21" s="32"/>
      <c r="Z21" s="32"/>
      <c r="AA21" s="32"/>
      <c r="AB21" s="32"/>
    </row>
    <row r="22" spans="1:29" s="6" customFormat="1" ht="12" customHeight="1" x14ac:dyDescent="0.2">
      <c r="A22" s="19"/>
      <c r="B22" s="667"/>
      <c r="C22" s="667"/>
      <c r="D22" s="667"/>
      <c r="E22" s="667"/>
      <c r="F22" s="667"/>
      <c r="G22" s="19"/>
      <c r="H22" s="19"/>
      <c r="I22" s="19"/>
      <c r="J22" s="19"/>
      <c r="K22" s="19"/>
      <c r="L22" s="19"/>
      <c r="M22" s="32"/>
      <c r="N22" s="32"/>
      <c r="O22" s="32"/>
      <c r="P22" s="19"/>
      <c r="Q22" s="19"/>
      <c r="R22" s="25" t="s">
        <v>67</v>
      </c>
      <c r="S22" s="17">
        <f t="shared" ref="S22:W22" si="4">S72</f>
        <v>1</v>
      </c>
      <c r="T22" s="17">
        <f t="shared" si="4"/>
        <v>1</v>
      </c>
      <c r="U22" s="17">
        <f t="shared" si="4"/>
        <v>1.005535311327991</v>
      </c>
      <c r="V22" s="17">
        <f t="shared" si="4"/>
        <v>0.99572730322440894</v>
      </c>
      <c r="W22" s="17">
        <f t="shared" si="4"/>
        <v>0.99562864508105087</v>
      </c>
      <c r="X22" s="32"/>
      <c r="Y22" s="32"/>
      <c r="Z22" s="32"/>
      <c r="AA22" s="32"/>
      <c r="AB22" s="32"/>
    </row>
    <row r="23" spans="1:29" s="6" customFormat="1" ht="12" customHeight="1" x14ac:dyDescent="0.2">
      <c r="A23" s="19"/>
      <c r="B23" s="667"/>
      <c r="C23" s="667"/>
      <c r="D23" s="667"/>
      <c r="E23" s="667"/>
      <c r="F23" s="667"/>
      <c r="G23" s="19"/>
      <c r="H23" s="19"/>
      <c r="I23" s="19"/>
      <c r="J23" s="19"/>
      <c r="K23" s="19"/>
      <c r="L23" s="19"/>
      <c r="M23" s="32"/>
      <c r="N23" s="32"/>
      <c r="O23" s="32"/>
      <c r="P23" s="19"/>
      <c r="Q23" s="19"/>
      <c r="R23" s="18" t="s">
        <v>68</v>
      </c>
      <c r="S23" s="307">
        <f t="shared" ref="S23:W23" si="5">S22*S73-S22</f>
        <v>0</v>
      </c>
      <c r="T23" s="307">
        <f t="shared" si="5"/>
        <v>0</v>
      </c>
      <c r="U23" s="307">
        <f t="shared" si="5"/>
        <v>1.3730067925389333E-2</v>
      </c>
      <c r="V23" s="307">
        <f t="shared" si="5"/>
        <v>1.8574921869091154E-2</v>
      </c>
      <c r="W23" s="307">
        <f t="shared" si="5"/>
        <v>1.5078371823482706E-2</v>
      </c>
      <c r="X23" s="32"/>
      <c r="Y23" s="32"/>
      <c r="Z23" s="32"/>
      <c r="AA23" s="32"/>
      <c r="AB23" s="32"/>
    </row>
    <row r="24" spans="1:29" s="6" customFormat="1" ht="12" customHeight="1" x14ac:dyDescent="0.2">
      <c r="A24" s="19"/>
      <c r="B24" s="667"/>
      <c r="C24" s="667"/>
      <c r="D24" s="667"/>
      <c r="E24" s="667"/>
      <c r="F24" s="667"/>
      <c r="G24" s="19"/>
      <c r="H24" s="19"/>
      <c r="I24" s="19"/>
      <c r="J24" s="19"/>
      <c r="K24" s="19"/>
      <c r="L24" s="19"/>
      <c r="M24" s="32"/>
      <c r="N24" s="32"/>
      <c r="O24" s="32"/>
      <c r="P24" s="19"/>
      <c r="Q24" s="19"/>
      <c r="R24" s="18" t="s">
        <v>69</v>
      </c>
      <c r="S24" s="55">
        <f t="shared" ref="S24:W24" si="6">S22-S22/S73</f>
        <v>0</v>
      </c>
      <c r="T24" s="55">
        <f t="shared" si="6"/>
        <v>0</v>
      </c>
      <c r="U24" s="55">
        <f t="shared" si="6"/>
        <v>1.3545116322918549E-2</v>
      </c>
      <c r="V24" s="55">
        <f t="shared" si="6"/>
        <v>1.8234759229291075E-2</v>
      </c>
      <c r="W24" s="55">
        <f t="shared" si="6"/>
        <v>1.4853423056882198E-2</v>
      </c>
      <c r="X24" s="32"/>
      <c r="Y24" s="32"/>
      <c r="Z24" s="32"/>
      <c r="AA24" s="32"/>
      <c r="AB24" s="32"/>
    </row>
    <row r="25" spans="1:29" ht="12.95" customHeight="1" x14ac:dyDescent="0.2">
      <c r="A25" s="19"/>
      <c r="B25" s="667"/>
      <c r="C25" s="667"/>
      <c r="D25" s="667"/>
      <c r="E25" s="667"/>
      <c r="F25" s="667"/>
      <c r="G25" s="19"/>
      <c r="H25" s="19"/>
      <c r="I25" s="19"/>
      <c r="J25" s="19"/>
      <c r="K25" s="19"/>
      <c r="L25" s="19"/>
      <c r="M25" s="19"/>
      <c r="N25" s="19"/>
      <c r="O25" s="19"/>
      <c r="P25" s="19"/>
      <c r="Q25" s="19"/>
      <c r="R25" s="25" t="str">
        <f>O76</f>
        <v>Exptal</v>
      </c>
      <c r="S25" s="55"/>
      <c r="T25" s="55"/>
      <c r="U25" s="55"/>
      <c r="V25" s="55"/>
      <c r="W25" s="55"/>
      <c r="X25" s="19"/>
      <c r="Y25" s="19"/>
      <c r="Z25" s="19"/>
      <c r="AA25" s="19"/>
      <c r="AB25" s="19"/>
    </row>
    <row r="26" spans="1:29" ht="12.95" customHeight="1" x14ac:dyDescent="0.2">
      <c r="A26" s="19"/>
      <c r="B26" s="667"/>
      <c r="C26" s="667"/>
      <c r="D26" s="667"/>
      <c r="E26" s="667"/>
      <c r="F26" s="667"/>
      <c r="G26" s="19"/>
      <c r="H26" s="19"/>
      <c r="I26" s="19"/>
      <c r="J26" s="19"/>
      <c r="K26" s="19"/>
      <c r="L26" s="19"/>
      <c r="M26" s="19"/>
      <c r="N26" s="19"/>
      <c r="O26" s="19"/>
      <c r="P26" s="19"/>
      <c r="Q26" s="19"/>
      <c r="R26" s="18" t="s">
        <v>124</v>
      </c>
      <c r="S26" s="284">
        <f t="shared" ref="S26:W26" si="7">S44+$S$3</f>
        <v>1.06</v>
      </c>
      <c r="T26" s="284">
        <f t="shared" si="7"/>
        <v>2.06</v>
      </c>
      <c r="U26" s="284">
        <f t="shared" si="7"/>
        <v>3.06</v>
      </c>
      <c r="V26" s="284">
        <f t="shared" si="7"/>
        <v>4.0599999999999996</v>
      </c>
      <c r="W26" s="284">
        <f t="shared" si="7"/>
        <v>5.0599999999999996</v>
      </c>
      <c r="X26" s="19"/>
      <c r="Y26" s="19"/>
      <c r="Z26" s="19"/>
      <c r="AA26" s="19"/>
      <c r="AB26" s="19"/>
    </row>
    <row r="27" spans="1:29" ht="12.95" customHeight="1" x14ac:dyDescent="0.2">
      <c r="A27" s="19"/>
      <c r="B27" s="667"/>
      <c r="C27" s="667"/>
      <c r="D27" s="667"/>
      <c r="E27" s="667"/>
      <c r="F27" s="667"/>
      <c r="G27" s="19"/>
      <c r="H27" s="19"/>
      <c r="I27" s="19"/>
      <c r="J27" s="19"/>
      <c r="K27" s="19"/>
      <c r="L27" s="19"/>
      <c r="M27" s="19"/>
      <c r="N27" s="19"/>
      <c r="O27" s="19"/>
      <c r="P27" s="19"/>
      <c r="Q27" s="19"/>
      <c r="R27" s="18" t="s">
        <v>67</v>
      </c>
      <c r="S27" s="307">
        <f t="shared" ref="S27:W27" si="8">S101</f>
        <v>1</v>
      </c>
      <c r="T27" s="307">
        <f t="shared" si="8"/>
        <v>1</v>
      </c>
      <c r="U27" s="307">
        <f t="shared" si="8"/>
        <v>1.0265306252811652</v>
      </c>
      <c r="V27" s="307">
        <f t="shared" si="8"/>
        <v>1.0160713739670635</v>
      </c>
      <c r="W27" s="307">
        <f t="shared" si="8"/>
        <v>1.012623118538635</v>
      </c>
      <c r="X27" s="19"/>
      <c r="Y27" s="19"/>
      <c r="Z27" s="19"/>
      <c r="AA27" s="19"/>
      <c r="AB27" s="19"/>
    </row>
    <row r="28" spans="1:29" ht="12.95" customHeight="1" x14ac:dyDescent="0.2">
      <c r="A28" s="19"/>
      <c r="B28" s="667"/>
      <c r="C28" s="667"/>
      <c r="D28" s="667"/>
      <c r="E28" s="667"/>
      <c r="F28" s="667"/>
      <c r="G28" s="19"/>
      <c r="H28" s="19"/>
      <c r="I28" s="19"/>
      <c r="J28" s="19"/>
      <c r="K28" s="19"/>
      <c r="L28" s="19"/>
      <c r="M28" s="19"/>
      <c r="N28" s="19"/>
      <c r="O28" s="19"/>
      <c r="P28" s="19"/>
      <c r="Q28" s="19"/>
      <c r="R28" s="25" t="s">
        <v>68</v>
      </c>
      <c r="S28" s="17">
        <f t="shared" ref="S28:W28" si="9">S27*S102-S27</f>
        <v>0</v>
      </c>
      <c r="T28" s="17">
        <f t="shared" si="9"/>
        <v>0</v>
      </c>
      <c r="U28" s="17">
        <f t="shared" si="9"/>
        <v>2.1418359556059752E-2</v>
      </c>
      <c r="V28" s="17">
        <f t="shared" si="9"/>
        <v>3.2065855385960296E-2</v>
      </c>
      <c r="W28" s="17">
        <f t="shared" si="9"/>
        <v>2.9080908047923293E-2</v>
      </c>
      <c r="X28" s="19"/>
      <c r="Y28" s="19"/>
      <c r="Z28" s="19"/>
      <c r="AA28" s="19"/>
      <c r="AB28" s="19"/>
    </row>
    <row r="29" spans="1:29" ht="12.95" customHeight="1" x14ac:dyDescent="0.2">
      <c r="A29" s="19"/>
      <c r="B29" s="667"/>
      <c r="C29" s="667"/>
      <c r="D29" s="667"/>
      <c r="E29" s="667"/>
      <c r="F29" s="667"/>
      <c r="G29" s="19"/>
      <c r="H29" s="19"/>
      <c r="I29" s="19"/>
      <c r="J29" s="19"/>
      <c r="K29" s="19"/>
      <c r="L29" s="19"/>
      <c r="M29" s="19"/>
      <c r="N29" s="19"/>
      <c r="O29" s="19"/>
      <c r="P29" s="19"/>
      <c r="Q29" s="19"/>
      <c r="R29" s="25" t="s">
        <v>69</v>
      </c>
      <c r="S29" s="17">
        <f t="shared" ref="S29:W29" si="10">S27-S27/S102</f>
        <v>0</v>
      </c>
      <c r="T29" s="17">
        <f t="shared" si="10"/>
        <v>0</v>
      </c>
      <c r="U29" s="17">
        <f t="shared" si="10"/>
        <v>2.0980603393583985E-2</v>
      </c>
      <c r="V29" s="17">
        <f t="shared" si="10"/>
        <v>3.1084858763725909E-2</v>
      </c>
      <c r="W29" s="17">
        <f t="shared" si="10"/>
        <v>2.8269065920689673E-2</v>
      </c>
      <c r="X29" s="19"/>
      <c r="Y29" s="19"/>
      <c r="Z29" s="19"/>
      <c r="AA29" s="48"/>
      <c r="AB29" s="34"/>
      <c r="AC29" s="2"/>
    </row>
    <row r="30" spans="1:29" ht="12.95" customHeight="1" x14ac:dyDescent="0.2">
      <c r="A30" s="19"/>
      <c r="B30" s="667"/>
      <c r="C30" s="667"/>
      <c r="D30" s="667"/>
      <c r="E30" s="667"/>
      <c r="F30" s="667"/>
      <c r="G30" s="19"/>
      <c r="H30" s="19"/>
      <c r="I30" s="19"/>
      <c r="J30" s="19"/>
      <c r="K30" s="19"/>
      <c r="L30" s="19"/>
      <c r="M30" s="19"/>
      <c r="N30" s="19"/>
      <c r="O30" s="19"/>
      <c r="P30" s="19"/>
      <c r="Q30" s="37" t="s">
        <v>165</v>
      </c>
      <c r="R30" s="19"/>
      <c r="S30" s="19"/>
      <c r="T30" s="19"/>
      <c r="U30" s="19"/>
      <c r="V30" s="19"/>
      <c r="W30" s="19"/>
      <c r="X30" s="19"/>
      <c r="Y30" s="19"/>
      <c r="Z30" s="19"/>
      <c r="AA30" s="48"/>
      <c r="AB30" s="34"/>
      <c r="AC30" s="2"/>
    </row>
    <row r="31" spans="1:29" ht="12.95" customHeight="1" x14ac:dyDescent="0.2">
      <c r="A31" s="19"/>
      <c r="B31" s="667"/>
      <c r="C31" s="667"/>
      <c r="D31" s="667"/>
      <c r="E31" s="667"/>
      <c r="F31" s="667"/>
      <c r="G31" s="19"/>
      <c r="H31" s="19"/>
      <c r="I31" s="19"/>
      <c r="J31" s="19"/>
      <c r="K31" s="19"/>
      <c r="L31" s="19"/>
      <c r="M31" s="19"/>
      <c r="N31" s="19"/>
      <c r="O31" s="19"/>
      <c r="P31" s="19"/>
      <c r="Q31" s="19"/>
      <c r="R31" s="18" t="s">
        <v>66</v>
      </c>
      <c r="S31" s="25" t="str">
        <f>S46</f>
        <v>Pre1</v>
      </c>
      <c r="T31" s="25" t="str">
        <f t="shared" ref="T31:V31" si="11">T46</f>
        <v>Pre2</v>
      </c>
      <c r="U31" s="25" t="str">
        <f t="shared" si="11"/>
        <v>Post1</v>
      </c>
      <c r="V31" s="25" t="str">
        <f t="shared" si="11"/>
        <v>Post2</v>
      </c>
      <c r="W31" s="25" t="str">
        <f t="shared" ref="W31" si="12">W46</f>
        <v>Post3</v>
      </c>
      <c r="X31" s="19"/>
      <c r="Y31" s="19"/>
      <c r="Z31" s="19"/>
      <c r="AA31" s="48"/>
      <c r="AB31" s="34"/>
      <c r="AC31" s="2"/>
    </row>
    <row r="32" spans="1:29" s="1" customFormat="1" ht="12.95" customHeight="1" x14ac:dyDescent="0.2">
      <c r="A32" s="19"/>
      <c r="B32" s="667"/>
      <c r="C32" s="667"/>
      <c r="D32" s="667"/>
      <c r="E32" s="667"/>
      <c r="F32" s="667"/>
      <c r="G32" s="19"/>
      <c r="H32" s="19"/>
      <c r="I32" s="19"/>
      <c r="J32" s="19"/>
      <c r="K32" s="19"/>
      <c r="L32" s="19"/>
      <c r="M32" s="19"/>
      <c r="N32" s="19"/>
      <c r="O32" s="19"/>
      <c r="P32" s="19"/>
      <c r="Q32" s="19"/>
      <c r="R32" s="109" t="str">
        <f>O47</f>
        <v>Control</v>
      </c>
      <c r="S32" s="25"/>
      <c r="T32" s="25"/>
      <c r="U32" s="25"/>
      <c r="V32" s="25"/>
      <c r="W32" s="25"/>
      <c r="X32" s="19"/>
      <c r="Y32" s="20"/>
      <c r="Z32" s="19"/>
      <c r="AA32" s="48"/>
      <c r="AB32" s="34"/>
      <c r="AC32" s="13"/>
    </row>
    <row r="33" spans="1:29" s="1" customFormat="1" ht="12.95" customHeight="1" x14ac:dyDescent="0.2">
      <c r="A33" s="19"/>
      <c r="B33" s="667"/>
      <c r="C33" s="667"/>
      <c r="D33" s="667"/>
      <c r="E33" s="667"/>
      <c r="F33" s="667"/>
      <c r="G33" s="19"/>
      <c r="H33" s="19"/>
      <c r="I33" s="19"/>
      <c r="J33" s="19"/>
      <c r="K33" s="19"/>
      <c r="L33" s="19"/>
      <c r="M33" s="19"/>
      <c r="N33" s="19"/>
      <c r="O33" s="19"/>
      <c r="P33" s="19"/>
      <c r="Q33" s="19"/>
      <c r="R33" s="109" t="s">
        <v>124</v>
      </c>
      <c r="S33" s="55">
        <f>S44-$S$3</f>
        <v>0.94</v>
      </c>
      <c r="T33" s="55">
        <f t="shared" ref="T33:V33" si="13">T44-$S$3</f>
        <v>1.94</v>
      </c>
      <c r="U33" s="55">
        <f t="shared" si="13"/>
        <v>2.94</v>
      </c>
      <c r="V33" s="55">
        <f t="shared" si="13"/>
        <v>3.94</v>
      </c>
      <c r="W33" s="55">
        <f t="shared" ref="W33" si="14">W44-$S$3</f>
        <v>4.9400000000000004</v>
      </c>
      <c r="X33" s="19"/>
      <c r="Y33" s="20"/>
      <c r="Z33" s="19"/>
      <c r="AA33" s="48"/>
      <c r="AB33" s="34"/>
      <c r="AC33" s="13"/>
    </row>
    <row r="34" spans="1:29" s="1" customFormat="1" ht="12.95" customHeight="1" x14ac:dyDescent="0.2">
      <c r="A34" s="19"/>
      <c r="B34" s="667"/>
      <c r="C34" s="667"/>
      <c r="D34" s="667"/>
      <c r="E34" s="667"/>
      <c r="F34" s="667"/>
      <c r="G34" s="19"/>
      <c r="H34" s="19"/>
      <c r="I34" s="19"/>
      <c r="J34" s="19"/>
      <c r="K34" s="19"/>
      <c r="L34" s="19"/>
      <c r="M34" s="19"/>
      <c r="N34" s="19"/>
      <c r="O34" s="19"/>
      <c r="P34" s="19"/>
      <c r="Q34" s="19"/>
      <c r="R34" s="25" t="s">
        <v>67</v>
      </c>
      <c r="S34" s="55">
        <f>S70</f>
        <v>0</v>
      </c>
      <c r="T34" s="55">
        <f t="shared" ref="T34:V34" si="15">T70</f>
        <v>0</v>
      </c>
      <c r="U34" s="55">
        <f t="shared" si="15"/>
        <v>0.55353113279909394</v>
      </c>
      <c r="V34" s="55">
        <f t="shared" si="15"/>
        <v>-0.42726967755911005</v>
      </c>
      <c r="W34" s="55">
        <f t="shared" ref="W34" si="16">W70</f>
        <v>-0.43713549189490664</v>
      </c>
      <c r="X34" s="19"/>
      <c r="Y34" s="20"/>
      <c r="Z34" s="19"/>
      <c r="AA34" s="48"/>
      <c r="AB34" s="34"/>
      <c r="AC34" s="13"/>
    </row>
    <row r="35" spans="1:29" s="1" customFormat="1" ht="12.95" customHeight="1" x14ac:dyDescent="0.2">
      <c r="A35" s="19"/>
      <c r="B35" s="667"/>
      <c r="C35" s="667"/>
      <c r="D35" s="667"/>
      <c r="E35" s="667"/>
      <c r="F35" s="667"/>
      <c r="G35" s="19"/>
      <c r="H35" s="19"/>
      <c r="I35" s="19"/>
      <c r="J35" s="19"/>
      <c r="K35" s="19"/>
      <c r="L35" s="19"/>
      <c r="M35" s="19"/>
      <c r="N35" s="19"/>
      <c r="O35" s="19"/>
      <c r="P35" s="19"/>
      <c r="Q35" s="19"/>
      <c r="R35" s="109" t="s">
        <v>68</v>
      </c>
      <c r="S35" s="285">
        <f>100*EXP((S67+S68)/100)-100-S34</f>
        <v>0</v>
      </c>
      <c r="T35" s="285">
        <f t="shared" ref="T35:V35" si="17">100*EXP((T67+T68)/100)-100-T34</f>
        <v>0</v>
      </c>
      <c r="U35" s="285">
        <f t="shared" si="17"/>
        <v>1.3730067925389449</v>
      </c>
      <c r="V35" s="285">
        <f t="shared" si="17"/>
        <v>1.857492186909127</v>
      </c>
      <c r="W35" s="285">
        <f t="shared" ref="W35" si="18">100*EXP((W67+W68)/100)-100-W34</f>
        <v>1.5078371823482684</v>
      </c>
      <c r="X35" s="19"/>
      <c r="Y35" s="20"/>
      <c r="Z35" s="19"/>
      <c r="AA35" s="19"/>
      <c r="AB35" s="19"/>
    </row>
    <row r="36" spans="1:29" s="1" customFormat="1" ht="13.9" customHeight="1" x14ac:dyDescent="0.2">
      <c r="A36" s="19"/>
      <c r="B36" s="667"/>
      <c r="C36" s="667"/>
      <c r="D36" s="667"/>
      <c r="E36" s="667"/>
      <c r="F36" s="667"/>
      <c r="G36" s="19"/>
      <c r="H36" s="19"/>
      <c r="I36" s="19"/>
      <c r="J36" s="19"/>
      <c r="K36" s="19"/>
      <c r="L36" s="19"/>
      <c r="M36" s="19"/>
      <c r="N36" s="19"/>
      <c r="O36" s="19"/>
      <c r="P36" s="19"/>
      <c r="Q36" s="19"/>
      <c r="R36" s="109" t="s">
        <v>69</v>
      </c>
      <c r="S36" s="285">
        <f>S34-(100*EXP((S67-S68)/100)-100)</f>
        <v>0</v>
      </c>
      <c r="T36" s="285">
        <f t="shared" ref="T36:V36" si="19">T34-(100*EXP((T67-T68)/100)-100)</f>
        <v>0</v>
      </c>
      <c r="U36" s="285">
        <f t="shared" si="19"/>
        <v>1.354511632291846</v>
      </c>
      <c r="V36" s="285">
        <f t="shared" si="19"/>
        <v>1.82347592292912</v>
      </c>
      <c r="W36" s="285">
        <f t="shared" ref="W36" si="20">W34-(100*EXP((W67-W68)/100)-100)</f>
        <v>1.4853423056882349</v>
      </c>
      <c r="X36" s="19"/>
      <c r="Y36" s="20"/>
      <c r="Z36" s="19"/>
      <c r="AA36" s="48"/>
      <c r="AB36" s="34"/>
      <c r="AC36" s="13"/>
    </row>
    <row r="37" spans="1:29" s="1" customFormat="1" ht="13.9" customHeight="1" x14ac:dyDescent="0.2">
      <c r="A37" s="19"/>
      <c r="B37" s="667"/>
      <c r="C37" s="667"/>
      <c r="D37" s="667"/>
      <c r="E37" s="667"/>
      <c r="F37" s="667"/>
      <c r="G37" s="19"/>
      <c r="H37" s="19"/>
      <c r="I37" s="19"/>
      <c r="J37" s="19"/>
      <c r="K37" s="19"/>
      <c r="L37" s="19"/>
      <c r="M37" s="19"/>
      <c r="N37" s="19"/>
      <c r="O37" s="19"/>
      <c r="P37" s="19"/>
      <c r="Q37" s="19"/>
      <c r="R37" s="109" t="str">
        <f>O76</f>
        <v>Exptal</v>
      </c>
      <c r="S37" s="25"/>
      <c r="T37" s="25"/>
      <c r="U37" s="25"/>
      <c r="V37" s="25"/>
      <c r="W37" s="25"/>
      <c r="X37" s="19"/>
      <c r="Y37" s="19"/>
      <c r="Z37" s="19"/>
      <c r="AA37" s="48"/>
      <c r="AB37" s="34"/>
      <c r="AC37" s="13"/>
    </row>
    <row r="38" spans="1:29" s="1" customFormat="1" ht="13.9" customHeight="1" x14ac:dyDescent="0.2">
      <c r="A38" s="19"/>
      <c r="B38" s="667"/>
      <c r="C38" s="667"/>
      <c r="D38" s="667"/>
      <c r="E38" s="667"/>
      <c r="F38" s="667"/>
      <c r="G38" s="19"/>
      <c r="H38" s="19"/>
      <c r="I38" s="19"/>
      <c r="J38" s="19"/>
      <c r="K38" s="19"/>
      <c r="L38" s="19"/>
      <c r="M38" s="19"/>
      <c r="N38" s="19"/>
      <c r="O38" s="19"/>
      <c r="P38" s="19"/>
      <c r="Q38" s="19"/>
      <c r="R38" s="109" t="s">
        <v>124</v>
      </c>
      <c r="S38" s="55">
        <f>S44+$S$3</f>
        <v>1.06</v>
      </c>
      <c r="T38" s="55">
        <f t="shared" ref="T38:V38" si="21">T44+$S$3</f>
        <v>2.06</v>
      </c>
      <c r="U38" s="55">
        <f t="shared" si="21"/>
        <v>3.06</v>
      </c>
      <c r="V38" s="55">
        <f t="shared" si="21"/>
        <v>4.0599999999999996</v>
      </c>
      <c r="W38" s="55">
        <f t="shared" ref="W38" si="22">W44+$S$3</f>
        <v>5.0599999999999996</v>
      </c>
      <c r="X38" s="19"/>
      <c r="Y38" s="19"/>
      <c r="Z38" s="19"/>
      <c r="AA38" s="48"/>
      <c r="AB38" s="34"/>
      <c r="AC38" s="13"/>
    </row>
    <row r="39" spans="1:29" s="1" customFormat="1" ht="14.45" customHeight="1" x14ac:dyDescent="0.2">
      <c r="A39" s="19"/>
      <c r="B39" s="667"/>
      <c r="C39" s="667"/>
      <c r="D39" s="667"/>
      <c r="E39" s="667"/>
      <c r="F39" s="667"/>
      <c r="G39" s="19"/>
      <c r="H39" s="19"/>
      <c r="I39" s="19"/>
      <c r="J39" s="19"/>
      <c r="K39" s="19"/>
      <c r="L39" s="19"/>
      <c r="M39" s="19"/>
      <c r="N39" s="19"/>
      <c r="O39" s="19"/>
      <c r="P39" s="19"/>
      <c r="Q39" s="19"/>
      <c r="R39" s="25" t="s">
        <v>67</v>
      </c>
      <c r="S39" s="55">
        <f>S99</f>
        <v>0</v>
      </c>
      <c r="T39" s="55">
        <f t="shared" ref="T39:V39" si="23">T99</f>
        <v>0</v>
      </c>
      <c r="U39" s="55">
        <f t="shared" si="23"/>
        <v>2.6530625281165214</v>
      </c>
      <c r="V39" s="55">
        <f t="shared" si="23"/>
        <v>1.6071373967063494</v>
      </c>
      <c r="W39" s="55">
        <f t="shared" ref="W39" si="24">W99</f>
        <v>1.2623118538634941</v>
      </c>
      <c r="X39" s="19"/>
      <c r="Y39" s="19"/>
      <c r="Z39" s="19"/>
      <c r="AA39" s="48"/>
      <c r="AB39" s="34"/>
      <c r="AC39" s="13"/>
    </row>
    <row r="40" spans="1:29" s="1" customFormat="1" ht="13.9" customHeight="1" x14ac:dyDescent="0.2">
      <c r="A40" s="19"/>
      <c r="B40" s="667"/>
      <c r="C40" s="667"/>
      <c r="D40" s="667"/>
      <c r="E40" s="667"/>
      <c r="F40" s="667"/>
      <c r="G40" s="19"/>
      <c r="H40" s="19"/>
      <c r="I40" s="19"/>
      <c r="J40" s="19"/>
      <c r="K40" s="19"/>
      <c r="L40" s="19"/>
      <c r="M40" s="19"/>
      <c r="N40" s="19"/>
      <c r="O40" s="19"/>
      <c r="P40" s="19"/>
      <c r="Q40" s="19"/>
      <c r="R40" s="109" t="s">
        <v>68</v>
      </c>
      <c r="S40" s="285">
        <f>100*EXP((S96+S97)/100)-100-S39</f>
        <v>0</v>
      </c>
      <c r="T40" s="285">
        <f t="shared" ref="T40:V40" si="25">100*EXP((T96+T97)/100)-100-T39</f>
        <v>0</v>
      </c>
      <c r="U40" s="285">
        <f t="shared" si="25"/>
        <v>2.1418359556059841</v>
      </c>
      <c r="V40" s="285">
        <f t="shared" si="25"/>
        <v>3.206585538596002</v>
      </c>
      <c r="W40" s="285">
        <f t="shared" ref="W40" si="26">100*EXP((W96+W97)/100)-100-W39</f>
        <v>2.9080908047923373</v>
      </c>
      <c r="X40" s="19"/>
      <c r="Y40" s="19"/>
      <c r="Z40" s="19"/>
      <c r="AA40" s="48"/>
      <c r="AB40" s="34"/>
      <c r="AC40" s="13"/>
    </row>
    <row r="41" spans="1:29" s="1" customFormat="1" ht="13.9" customHeight="1" x14ac:dyDescent="0.2">
      <c r="A41" s="19"/>
      <c r="B41" s="19"/>
      <c r="C41" s="19"/>
      <c r="D41" s="19"/>
      <c r="E41" s="19"/>
      <c r="F41" s="19"/>
      <c r="G41" s="19"/>
      <c r="H41" s="19"/>
      <c r="I41" s="19"/>
      <c r="J41" s="19"/>
      <c r="K41" s="19"/>
      <c r="L41" s="19"/>
      <c r="M41" s="19"/>
      <c r="N41" s="19"/>
      <c r="O41" s="19"/>
      <c r="P41" s="19"/>
      <c r="Q41" s="19"/>
      <c r="R41" s="109" t="s">
        <v>69</v>
      </c>
      <c r="S41" s="285">
        <f>S39-(100*EXP((S96-S97)/100)-100)</f>
        <v>0</v>
      </c>
      <c r="T41" s="285">
        <f t="shared" ref="T41:V41" si="27">T39-(100*EXP((T96-T97)/100)-100)</f>
        <v>0</v>
      </c>
      <c r="U41" s="285">
        <f t="shared" si="27"/>
        <v>2.0980603393583976</v>
      </c>
      <c r="V41" s="285">
        <f t="shared" si="27"/>
        <v>3.1084858763726118</v>
      </c>
      <c r="W41" s="285">
        <f t="shared" ref="W41" si="28">W39-(100*EXP((W96-W97)/100)-100)</f>
        <v>2.8269065920689513</v>
      </c>
      <c r="X41" s="19"/>
      <c r="Y41" s="19"/>
      <c r="Z41" s="19"/>
      <c r="AA41" s="48"/>
      <c r="AB41" s="34"/>
      <c r="AC41" s="13"/>
    </row>
    <row r="42" spans="1:29" s="1" customFormat="1" ht="14.45" customHeight="1" x14ac:dyDescent="0.2">
      <c r="A42" s="19"/>
      <c r="B42" s="19"/>
      <c r="C42" s="19"/>
      <c r="D42" s="19"/>
      <c r="E42" s="165" t="s">
        <v>162</v>
      </c>
      <c r="F42" s="279">
        <v>1</v>
      </c>
      <c r="G42" s="279">
        <v>1</v>
      </c>
      <c r="H42" s="279">
        <v>1</v>
      </c>
      <c r="I42" s="279">
        <v>1</v>
      </c>
      <c r="J42" s="279">
        <v>1</v>
      </c>
      <c r="K42" s="19"/>
      <c r="L42" s="19"/>
      <c r="M42" s="30"/>
      <c r="N42" s="19"/>
      <c r="O42" s="19"/>
      <c r="P42" s="19"/>
      <c r="Q42" s="19"/>
      <c r="R42" s="165" t="s">
        <v>162</v>
      </c>
      <c r="S42" s="279">
        <v>1</v>
      </c>
      <c r="T42" s="279">
        <v>1</v>
      </c>
      <c r="U42" s="279">
        <v>1</v>
      </c>
      <c r="V42" s="279">
        <v>1</v>
      </c>
      <c r="W42" s="279">
        <v>1</v>
      </c>
      <c r="X42" s="19"/>
      <c r="Y42" s="19"/>
      <c r="Z42" s="19"/>
      <c r="AA42" s="48"/>
      <c r="AB42" s="34"/>
      <c r="AC42" s="13"/>
    </row>
    <row r="43" spans="1:29" s="1" customFormat="1" ht="13.9" customHeight="1" x14ac:dyDescent="0.2">
      <c r="A43" s="19"/>
      <c r="B43" s="31"/>
      <c r="C43" s="17"/>
      <c r="D43" s="17"/>
      <c r="E43" s="165" t="s">
        <v>162</v>
      </c>
      <c r="F43" s="168">
        <f t="shared" ref="F43:J43" si="29">COLUMN(F43)</f>
        <v>6</v>
      </c>
      <c r="G43" s="168">
        <f t="shared" si="29"/>
        <v>7</v>
      </c>
      <c r="H43" s="168">
        <f t="shared" si="29"/>
        <v>8</v>
      </c>
      <c r="I43" s="168">
        <f t="shared" si="29"/>
        <v>9</v>
      </c>
      <c r="J43" s="168">
        <f t="shared" si="29"/>
        <v>10</v>
      </c>
      <c r="K43" s="61"/>
      <c r="L43" s="19"/>
      <c r="M43" s="19"/>
      <c r="N43" s="19"/>
      <c r="O43" s="19"/>
      <c r="P43" s="19"/>
      <c r="Q43" s="19"/>
      <c r="R43" s="165" t="s">
        <v>162</v>
      </c>
      <c r="S43" s="168">
        <f t="shared" ref="S43:W43" si="30">COLUMN(S43)</f>
        <v>19</v>
      </c>
      <c r="T43" s="168">
        <f t="shared" si="30"/>
        <v>20</v>
      </c>
      <c r="U43" s="168">
        <f t="shared" si="30"/>
        <v>21</v>
      </c>
      <c r="V43" s="168">
        <f t="shared" si="30"/>
        <v>22</v>
      </c>
      <c r="W43" s="168">
        <f t="shared" si="30"/>
        <v>23</v>
      </c>
      <c r="X43" s="19"/>
      <c r="Y43" s="19"/>
      <c r="Z43" s="19"/>
      <c r="AA43" s="48"/>
      <c r="AB43" s="34"/>
      <c r="AC43" s="13"/>
    </row>
    <row r="44" spans="1:29" s="1" customFormat="1" ht="13.9" customHeight="1" x14ac:dyDescent="0.2">
      <c r="A44" s="19"/>
      <c r="B44" s="661" t="s">
        <v>167</v>
      </c>
      <c r="C44" s="662"/>
      <c r="D44" s="288"/>
      <c r="E44" s="241" t="s">
        <v>117</v>
      </c>
      <c r="F44" s="448">
        <f>Sheet1!F49</f>
        <v>1</v>
      </c>
      <c r="G44" s="448">
        <f>Sheet1!G49</f>
        <v>2</v>
      </c>
      <c r="H44" s="448">
        <f>Sheet1!H49</f>
        <v>3</v>
      </c>
      <c r="I44" s="448">
        <f>Sheet1!I49</f>
        <v>4</v>
      </c>
      <c r="J44" s="448">
        <f>Sheet1!J49</f>
        <v>5</v>
      </c>
      <c r="K44" s="280"/>
      <c r="L44" s="20"/>
      <c r="M44" s="19"/>
      <c r="N44" s="19"/>
      <c r="O44" s="661" t="s">
        <v>166</v>
      </c>
      <c r="P44" s="662"/>
      <c r="Q44" s="288"/>
      <c r="R44" s="241" t="s">
        <v>117</v>
      </c>
      <c r="S44" s="444">
        <f t="shared" ref="S44:W46" si="31">F44</f>
        <v>1</v>
      </c>
      <c r="T44" s="445">
        <f t="shared" si="31"/>
        <v>2</v>
      </c>
      <c r="U44" s="445">
        <f t="shared" si="31"/>
        <v>3</v>
      </c>
      <c r="V44" s="445">
        <f t="shared" si="31"/>
        <v>4</v>
      </c>
      <c r="W44" s="445">
        <f t="shared" si="31"/>
        <v>5</v>
      </c>
      <c r="X44" s="101"/>
      <c r="Y44" s="20"/>
      <c r="Z44" s="19"/>
      <c r="AA44" s="48"/>
      <c r="AB44" s="34"/>
      <c r="AC44" s="13"/>
    </row>
    <row r="45" spans="1:29" s="10" customFormat="1" ht="13.9" customHeight="1" x14ac:dyDescent="0.3">
      <c r="A45" s="49"/>
      <c r="B45" s="663"/>
      <c r="C45" s="664"/>
      <c r="D45" s="289"/>
      <c r="E45" s="281" t="s">
        <v>163</v>
      </c>
      <c r="F45" s="449">
        <f>IF(Sheet1!F50&lt;0,Sheet1!F50,0)</f>
        <v>-0.5</v>
      </c>
      <c r="G45" s="449">
        <f>IF(Sheet1!G50&lt;0,Sheet1!G50,0)</f>
        <v>-0.5</v>
      </c>
      <c r="H45" s="449">
        <f>IF(Sheet1!H50&lt;0,Sheet1!H50,0)</f>
        <v>0</v>
      </c>
      <c r="I45" s="449">
        <f>IF(Sheet1!I50&lt;0,Sheet1!I50,0)</f>
        <v>0</v>
      </c>
      <c r="J45" s="449">
        <f>IF(Sheet1!J50&lt;0,Sheet1!J50,0)</f>
        <v>0</v>
      </c>
      <c r="K45" s="282" t="str">
        <f>IF(SUM(F45:J45)=-1,"Good weights for deltas","Bad weights: see comment.")</f>
        <v>Good weights for deltas</v>
      </c>
      <c r="L45" s="21"/>
      <c r="M45" s="49"/>
      <c r="N45" s="49"/>
      <c r="O45" s="663"/>
      <c r="P45" s="664"/>
      <c r="Q45" s="289"/>
      <c r="R45" s="281" t="s">
        <v>163</v>
      </c>
      <c r="S45" s="446">
        <f t="shared" si="31"/>
        <v>-0.5</v>
      </c>
      <c r="T45" s="447">
        <f t="shared" si="31"/>
        <v>-0.5</v>
      </c>
      <c r="U45" s="447">
        <f t="shared" si="31"/>
        <v>0</v>
      </c>
      <c r="V45" s="447">
        <f t="shared" si="31"/>
        <v>0</v>
      </c>
      <c r="W45" s="447">
        <f t="shared" si="31"/>
        <v>0</v>
      </c>
      <c r="X45" s="282" t="str">
        <f>IF(SUM(S45:W45)=-1,"Good weights for deltas","Bad weights: see comment.")</f>
        <v>Good weights for deltas</v>
      </c>
      <c r="Y45" s="21"/>
      <c r="Z45" s="49"/>
      <c r="AA45" s="48"/>
      <c r="AB45" s="50"/>
      <c r="AC45" s="15"/>
    </row>
    <row r="46" spans="1:29" s="10" customFormat="1" ht="27.2" customHeight="1" x14ac:dyDescent="0.25">
      <c r="A46" s="98"/>
      <c r="B46" s="290" t="str">
        <f>Sheet1!B51</f>
        <v>Treatment</v>
      </c>
      <c r="C46" s="290" t="str">
        <f>Sheet1!C51</f>
        <v>Name</v>
      </c>
      <c r="D46" s="291" t="str">
        <f>Sheet1!D51</f>
        <v>X1</v>
      </c>
      <c r="E46" s="291" t="str">
        <f>Sheet1!E51</f>
        <v>X2</v>
      </c>
      <c r="F46" s="291" t="str">
        <f>Sheet1!F51</f>
        <v>Pre1</v>
      </c>
      <c r="G46" s="291" t="str">
        <f>Sheet1!G51</f>
        <v>Pre2</v>
      </c>
      <c r="H46" s="291" t="str">
        <f>Sheet1!H51</f>
        <v>Post1</v>
      </c>
      <c r="I46" s="291" t="str">
        <f>Sheet1!I51</f>
        <v>Post2</v>
      </c>
      <c r="J46" s="291" t="str">
        <f>Sheet1!J51</f>
        <v>Post3</v>
      </c>
      <c r="K46" s="278"/>
      <c r="L46" s="278"/>
      <c r="M46" s="49"/>
      <c r="N46" s="98"/>
      <c r="O46" s="79" t="str">
        <f>B46</f>
        <v>Treatment</v>
      </c>
      <c r="P46" s="79" t="str">
        <f>C46</f>
        <v>Name</v>
      </c>
      <c r="Q46" s="82" t="str">
        <f>D46</f>
        <v>X1</v>
      </c>
      <c r="R46" s="82" t="str">
        <f>E46</f>
        <v>X2</v>
      </c>
      <c r="S46" s="82" t="str">
        <f t="shared" si="31"/>
        <v>Pre1</v>
      </c>
      <c r="T46" s="82" t="str">
        <f t="shared" si="31"/>
        <v>Pre2</v>
      </c>
      <c r="U46" s="82" t="str">
        <f t="shared" si="31"/>
        <v>Post1</v>
      </c>
      <c r="V46" s="82" t="str">
        <f t="shared" si="31"/>
        <v>Post2</v>
      </c>
      <c r="W46" s="82" t="str">
        <f t="shared" si="31"/>
        <v>Post3</v>
      </c>
      <c r="X46" s="278"/>
      <c r="Y46" s="278"/>
      <c r="Z46" s="49"/>
      <c r="AA46" s="48"/>
      <c r="AB46" s="50"/>
      <c r="AC46" s="15"/>
    </row>
    <row r="47" spans="1:29" x14ac:dyDescent="0.2">
      <c r="A47" s="99"/>
      <c r="B47" s="292" t="str">
        <f>Sheet1!B52</f>
        <v>Control</v>
      </c>
      <c r="C47" s="292" t="str">
        <f>Sheet1!C52</f>
        <v>Alex</v>
      </c>
      <c r="D47" s="293"/>
      <c r="E47" s="293"/>
      <c r="F47" s="293">
        <f>IF(F$45&lt;0,0,Sheet1!F52+SUMPRODUCT($F$45:$J$45,Sheet1!$F52:$J52))</f>
        <v>0</v>
      </c>
      <c r="G47" s="293">
        <f>IF(G$45&lt;0,0,Sheet1!G52+SUMPRODUCT($F$45:$J$45,Sheet1!$F52:$J52))</f>
        <v>0</v>
      </c>
      <c r="H47" s="293">
        <f>IF(H$45&lt;0,0,Sheet1!H52+SUMPRODUCT($F$45:$J$45,Sheet1!$F52:$J52))</f>
        <v>-2.25</v>
      </c>
      <c r="I47" s="293">
        <f>IF(I$45&lt;0,0,Sheet1!I52+SUMPRODUCT($F$45:$J$45,Sheet1!$F52:$J52))</f>
        <v>1.8499999999999659</v>
      </c>
      <c r="J47" s="293">
        <f>IF(J$45&lt;0,0,Sheet1!J52+SUMPRODUCT($F$45:$J$45,Sheet1!$F52:$J52))</f>
        <v>3.25</v>
      </c>
      <c r="K47" s="317" t="str">
        <f>IF(SUMIFS($F$43:$J$43,Sheet1!F52:J52,"",$F$45:$J$45,"&lt;0")&gt;0,IF(OR(SUMIFS($F$42:$J$42,F47:J47,"")=SUM($F$42:$J$42),SUMIFS($F$42:$J$42,F47:J47,"")=SUMIFS($F$42:$J$42,$F$45:$J$45,"=0")),"","Clear all deltas"),IF(SUMIFS($F$43:$J$43,Sheet1!F52:J52,"",$F$45:$J$45,"=0")-SUMIFS($F$43:$J$43,F47:J47,"",$F$45:$J$45,"=0")&gt;0,"Clear deltas with missing values",""))</f>
        <v/>
      </c>
      <c r="L47" s="310"/>
      <c r="M47" s="37"/>
      <c r="N47" s="99"/>
      <c r="O47" s="292" t="str">
        <f t="shared" ref="O47:O66" si="32">B47</f>
        <v>Control</v>
      </c>
      <c r="P47" s="292" t="str">
        <f t="shared" ref="P47:P66" si="33">C47</f>
        <v>Alex</v>
      </c>
      <c r="Q47" s="293"/>
      <c r="R47" s="296"/>
      <c r="S47" s="297">
        <f>IF(S$45&lt;0,0,Sheet1!W52+SUMPRODUCT($F$45:$J$45,Sheet1!$W52:$AA52))</f>
        <v>0</v>
      </c>
      <c r="T47" s="297">
        <f>IF(T$45&lt;0,0,Sheet1!X52+SUMPRODUCT($F$45:$J$45,Sheet1!$W52:$AA52))</f>
        <v>0</v>
      </c>
      <c r="U47" s="297">
        <f>IF(U$45&lt;0,0,Sheet1!Y52+SUMPRODUCT($F$45:$J$45,Sheet1!$W52:$AA52))</f>
        <v>-0.56978030063112328</v>
      </c>
      <c r="V47" s="297">
        <f>IF(V$45&lt;0,0,Sheet1!Z52+SUMPRODUCT($F$45:$J$45,Sheet1!$W52:$AA52))</f>
        <v>0.46728476736416269</v>
      </c>
      <c r="W47" s="297">
        <f>IF(W$45&lt;0,0,Sheet1!AA52+SUMPRODUCT($F$45:$J$45,Sheet1!$W52:$AA52))</f>
        <v>0.81895556436074912</v>
      </c>
      <c r="X47" s="317" t="str">
        <f>IF(ISERROR(SUM(S47:W47)),"Clear #NUM! in Sheet1",IF(SUMIFS($S$43:$W$43,Sheet1!W52:AA52,"",$S$45:$W$45,"&lt;0")&gt;0,IF(OR(SUMIFS($S$42:$W$42,S47:W47,"")=SUM($S$42:$W$42),SUMIFS($S$42:$W$42,S47:W47,"")=SUMIFS($S$42:$W$42,$S$45:$W$45,"=0")),"","Clear all deltas"),IF(SUMIFS($S$43:$W$43,Sheet1!W52:AA52,"",$S$45:$W$45,"=0")-SUMIFS($S$43:$W$43,S47:W47,"",$S$45:$W$45,"=0")&gt;0,"Clear deltas with missing values","")))</f>
        <v/>
      </c>
      <c r="Y47" s="315"/>
      <c r="Z47" s="19"/>
      <c r="AA47" s="48"/>
      <c r="AB47" s="34"/>
      <c r="AC47" s="2"/>
    </row>
    <row r="48" spans="1:29" x14ac:dyDescent="0.2">
      <c r="A48" s="99"/>
      <c r="B48" s="292" t="str">
        <f>Sheet1!B53</f>
        <v>Control</v>
      </c>
      <c r="C48" s="292" t="str">
        <f>Sheet1!C53</f>
        <v>Ariel</v>
      </c>
      <c r="D48" s="293"/>
      <c r="E48" s="293"/>
      <c r="F48" s="293">
        <f>IF(F$45&lt;0,0,Sheet1!F53+SUMPRODUCT($F$45:$J$45,Sheet1!$F53:$J53))</f>
        <v>0</v>
      </c>
      <c r="G48" s="293">
        <f>IF(G$45&lt;0,0,Sheet1!G53+SUMPRODUCT($F$45:$J$45,Sheet1!$F53:$J53))</f>
        <v>0</v>
      </c>
      <c r="H48" s="293">
        <f>IF(H$45&lt;0,0,Sheet1!H53+SUMPRODUCT($F$45:$J$45,Sheet1!$F53:$J53))</f>
        <v>4.9500000000000455</v>
      </c>
      <c r="I48" s="293">
        <f>IF(I$45&lt;0,0,Sheet1!I53+SUMPRODUCT($F$45:$J$45,Sheet1!$F53:$J53))</f>
        <v>-8.5499999999999545</v>
      </c>
      <c r="J48" s="293">
        <f>IF(J$45&lt;0,0,Sheet1!J53+SUMPRODUCT($F$45:$J$45,Sheet1!$F53:$J53))</f>
        <v>-8.5499999999999545</v>
      </c>
      <c r="K48" s="317" t="str">
        <f>IF(SUMIFS($F$43:$J$43,Sheet1!F53:J53,"",$F$45:$J$45,"&lt;0")&gt;0,IF(OR(SUMIFS($F$42:$J$42,F48:J48,"")=SUM($F$42:$J$42),SUMIFS($F$42:$J$42,F48:J48,"")=SUMIFS($F$42:$J$42,$F$45:$J$45,"=0")),"","Clear all deltas"),IF(SUMIFS($F$43:$J$43,Sheet1!F53:J53,"",$F$45:$J$45,"=0")-SUMIFS($F$43:$J$43,F48:J48,"",$F$45:$J$45,"=0")&gt;0,"Clear deltas with missing values",""))</f>
        <v/>
      </c>
      <c r="L48" s="310"/>
      <c r="M48" s="37"/>
      <c r="N48" s="99"/>
      <c r="O48" s="292" t="str">
        <f t="shared" si="32"/>
        <v>Control</v>
      </c>
      <c r="P48" s="292" t="str">
        <f t="shared" si="33"/>
        <v>Ariel</v>
      </c>
      <c r="Q48" s="293"/>
      <c r="R48" s="296"/>
      <c r="S48" s="297">
        <f>IF(S$45&lt;0,0,Sheet1!W53+SUMPRODUCT($F$45:$J$45,Sheet1!$W53:$AA53))</f>
        <v>0</v>
      </c>
      <c r="T48" s="297">
        <f>IF(T$45&lt;0,0,Sheet1!X53+SUMPRODUCT($F$45:$J$45,Sheet1!$W53:$AA53))</f>
        <v>0</v>
      </c>
      <c r="U48" s="297">
        <f>IF(U$45&lt;0,0,Sheet1!Y53+SUMPRODUCT($F$45:$J$45,Sheet1!$W53:$AA53))</f>
        <v>1.2145961191587276</v>
      </c>
      <c r="V48" s="297">
        <f>IF(V$45&lt;0,0,Sheet1!Z53+SUMPRODUCT($F$45:$J$45,Sheet1!$W53:$AA53))</f>
        <v>-2.1244057929826567</v>
      </c>
      <c r="W48" s="297">
        <f>IF(W$45&lt;0,0,Sheet1!AA53+SUMPRODUCT($F$45:$J$45,Sheet1!$W53:$AA53))</f>
        <v>-2.1244057929826567</v>
      </c>
      <c r="X48" s="317" t="str">
        <f>IF(ISERROR(SUM(S48:W48)),"Clear #NUM! in Sheet1",IF(SUMIFS($S$43:$W$43,Sheet1!W53:AA53,"",$S$45:$W$45,"&lt;0")&gt;0,IF(OR(SUMIFS($S$42:$W$42,S48:W48,"")=SUM($S$42:$W$42),SUMIFS($S$42:$W$42,S48:W48,"")=SUMIFS($S$42:$W$42,$S$45:$W$45,"=0")),"","Clear all deltas"),IF(SUMIFS($S$43:$W$43,Sheet1!W53:AA53,"",$S$45:$W$45,"=0")-SUMIFS($S$43:$W$43,S48:W48,"",$S$45:$W$45,"=0")&gt;0,"Clear deltas with missing values","")))</f>
        <v/>
      </c>
      <c r="Y48" s="315"/>
      <c r="Z48" s="19"/>
      <c r="AA48" s="48"/>
      <c r="AB48" s="34"/>
      <c r="AC48" s="2"/>
    </row>
    <row r="49" spans="1:29" x14ac:dyDescent="0.2">
      <c r="A49" s="99"/>
      <c r="B49" s="292" t="str">
        <f>Sheet1!B54</f>
        <v>Control</v>
      </c>
      <c r="C49" s="292" t="str">
        <f>Sheet1!C54</f>
        <v>Ashley</v>
      </c>
      <c r="D49" s="293"/>
      <c r="E49" s="293"/>
      <c r="F49" s="293">
        <f>IF(F$45&lt;0,0,Sheet1!F54+SUMPRODUCT($F$45:$J$45,Sheet1!$F54:$J54))</f>
        <v>0</v>
      </c>
      <c r="G49" s="293">
        <f>IF(G$45&lt;0,0,Sheet1!G54+SUMPRODUCT($F$45:$J$45,Sheet1!$F54:$J54))</f>
        <v>0</v>
      </c>
      <c r="H49" s="293">
        <f>IF(H$45&lt;0,0,Sheet1!H54+SUMPRODUCT($F$45:$J$45,Sheet1!$F54:$J54))</f>
        <v>4.3000000000000114</v>
      </c>
      <c r="I49" s="293">
        <f>IF(I$45&lt;0,0,Sheet1!I54+SUMPRODUCT($F$45:$J$45,Sheet1!$F54:$J54))</f>
        <v>9.5</v>
      </c>
      <c r="J49" s="293">
        <f>IF(J$45&lt;0,0,Sheet1!J54+SUMPRODUCT($F$45:$J$45,Sheet1!$F54:$J54))</f>
        <v>-5.5999999999999659</v>
      </c>
      <c r="K49" s="317" t="str">
        <f>IF(SUMIFS($F$43:$J$43,Sheet1!F54:J54,"",$F$45:$J$45,"&lt;0")&gt;0,IF(OR(SUMIFS($F$42:$J$42,F49:J49,"")=SUM($F$42:$J$42),SUMIFS($F$42:$J$42,F49:J49,"")=SUMIFS($F$42:$J$42,$F$45:$J$45,"=0")),"","Clear all deltas"),IF(SUMIFS($F$43:$J$43,Sheet1!F54:J54,"",$F$45:$J$45,"=0")-SUMIFS($F$43:$J$43,F49:J49,"",$F$45:$J$45,"=0")&gt;0,"Clear deltas with missing values",""))</f>
        <v/>
      </c>
      <c r="L49" s="310"/>
      <c r="M49" s="37"/>
      <c r="N49" s="99"/>
      <c r="O49" s="292" t="str">
        <f t="shared" si="32"/>
        <v>Control</v>
      </c>
      <c r="P49" s="292" t="str">
        <f t="shared" si="33"/>
        <v>Ashley</v>
      </c>
      <c r="Q49" s="293"/>
      <c r="R49" s="296"/>
      <c r="S49" s="297">
        <f>IF(S$45&lt;0,0,Sheet1!W54+SUMPRODUCT($F$45:$J$45,Sheet1!$W54:$AA54))</f>
        <v>0</v>
      </c>
      <c r="T49" s="297">
        <f>IF(T$45&lt;0,0,Sheet1!X54+SUMPRODUCT($F$45:$J$45,Sheet1!$W54:$AA54))</f>
        <v>0</v>
      </c>
      <c r="U49" s="297">
        <f>IF(U$45&lt;0,0,Sheet1!Y54+SUMPRODUCT($F$45:$J$45,Sheet1!$W54:$AA54))</f>
        <v>1.0728093912979375</v>
      </c>
      <c r="V49" s="297">
        <f>IF(V$45&lt;0,0,Sheet1!Z54+SUMPRODUCT($F$45:$J$45,Sheet1!$W54:$AA54))</f>
        <v>2.3548782342041932</v>
      </c>
      <c r="W49" s="297">
        <f>IF(W$45&lt;0,0,Sheet1!AA54+SUMPRODUCT($F$45:$J$45,Sheet1!$W54:$AA54))</f>
        <v>-1.4144435605887793</v>
      </c>
      <c r="X49" s="317" t="str">
        <f>IF(ISERROR(SUM(S49:W49)),"Clear #NUM! in Sheet1",IF(SUMIFS($S$43:$W$43,Sheet1!W54:AA54,"",$S$45:$W$45,"&lt;0")&gt;0,IF(OR(SUMIFS($S$42:$W$42,S49:W49,"")=SUM($S$42:$W$42),SUMIFS($S$42:$W$42,S49:W49,"")=SUMIFS($S$42:$W$42,$S$45:$W$45,"=0")),"","Clear all deltas"),IF(SUMIFS($S$43:$W$43,Sheet1!W54:AA54,"",$S$45:$W$45,"=0")-SUMIFS($S$43:$W$43,S49:W49,"",$S$45:$W$45,"=0")&gt;0,"Clear deltas with missing values","")))</f>
        <v/>
      </c>
      <c r="Y49" s="315"/>
      <c r="Z49" s="19"/>
      <c r="AA49" s="48"/>
      <c r="AB49" s="34"/>
      <c r="AC49" s="2"/>
    </row>
    <row r="50" spans="1:29" x14ac:dyDescent="0.2">
      <c r="A50" s="99"/>
      <c r="B50" s="292" t="str">
        <f>Sheet1!B55</f>
        <v>Control</v>
      </c>
      <c r="C50" s="292" t="str">
        <f>Sheet1!C55</f>
        <v>Bernie</v>
      </c>
      <c r="D50" s="293"/>
      <c r="E50" s="293"/>
      <c r="F50" s="293">
        <f>IF(F$45&lt;0,0,Sheet1!F55+SUMPRODUCT($F$45:$J$45,Sheet1!$F55:$J55))</f>
        <v>0</v>
      </c>
      <c r="G50" s="293">
        <f>IF(G$45&lt;0,0,Sheet1!G55+SUMPRODUCT($F$45:$J$45,Sheet1!$F55:$J55))</f>
        <v>0</v>
      </c>
      <c r="H50" s="293">
        <f>IF(H$45&lt;0,0,Sheet1!H55+SUMPRODUCT($F$45:$J$45,Sheet1!$F55:$J55))</f>
        <v>10.500000000000057</v>
      </c>
      <c r="I50" s="293">
        <f>IF(I$45&lt;0,0,Sheet1!I55+SUMPRODUCT($F$45:$J$45,Sheet1!$F55:$J55))</f>
        <v>-1.5999999999999659</v>
      </c>
      <c r="J50" s="293">
        <f>IF(J$45&lt;0,0,Sheet1!J55+SUMPRODUCT($F$45:$J$45,Sheet1!$F55:$J55))</f>
        <v>-3.0999999999999659</v>
      </c>
      <c r="K50" s="317" t="str">
        <f>IF(SUMIFS($F$43:$J$43,Sheet1!F55:J55,"",$F$45:$J$45,"&lt;0")&gt;0,IF(OR(SUMIFS($F$42:$J$42,F50:J50,"")=SUM($F$42:$J$42),SUMIFS($F$42:$J$42,F50:J50,"")=SUMIFS($F$42:$J$42,$F$45:$J$45,"=0")),"","Clear all deltas"),IF(SUMIFS($F$43:$J$43,Sheet1!F55:J55,"",$F$45:$J$45,"=0")-SUMIFS($F$43:$J$43,F50:J50,"",$F$45:$J$45,"=0")&gt;0,"Clear deltas with missing values",""))</f>
        <v/>
      </c>
      <c r="L50" s="310"/>
      <c r="M50" s="37"/>
      <c r="N50" s="99"/>
      <c r="O50" s="292" t="str">
        <f t="shared" si="32"/>
        <v>Control</v>
      </c>
      <c r="P50" s="292" t="str">
        <f t="shared" si="33"/>
        <v>Bernie</v>
      </c>
      <c r="Q50" s="293"/>
      <c r="R50" s="296"/>
      <c r="S50" s="297">
        <f>IF(S$45&lt;0,0,Sheet1!W55+SUMPRODUCT($F$45:$J$45,Sheet1!$W55:$AA55))</f>
        <v>0</v>
      </c>
      <c r="T50" s="297">
        <f>IF(T$45&lt;0,0,Sheet1!X55+SUMPRODUCT($F$45:$J$45,Sheet1!$W55:$AA55))</f>
        <v>0</v>
      </c>
      <c r="U50" s="297">
        <f>IF(U$45&lt;0,0,Sheet1!Y55+SUMPRODUCT($F$45:$J$45,Sheet1!$W55:$AA55))</f>
        <v>2.6041854869574763</v>
      </c>
      <c r="V50" s="297">
        <f>IF(V$45&lt;0,0,Sheet1!Z55+SUMPRODUCT($F$45:$J$45,Sheet1!$W55:$AA55))</f>
        <v>-0.40038564996359582</v>
      </c>
      <c r="W50" s="297">
        <f>IF(W$45&lt;0,0,Sheet1!AA55+SUMPRODUCT($F$45:$J$45,Sheet1!$W55:$AA55))</f>
        <v>-0.77922181462076878</v>
      </c>
      <c r="X50" s="317" t="str">
        <f>IF(ISERROR(SUM(S50:W50)),"Clear #NUM! in Sheet1",IF(SUMIFS($S$43:$W$43,Sheet1!W55:AA55,"",$S$45:$W$45,"&lt;0")&gt;0,IF(OR(SUMIFS($S$42:$W$42,S50:W50,"")=SUM($S$42:$W$42),SUMIFS($S$42:$W$42,S50:W50,"")=SUMIFS($S$42:$W$42,$S$45:$W$45,"=0")),"","Clear all deltas"),IF(SUMIFS($S$43:$W$43,Sheet1!W55:AA55,"",$S$45:$W$45,"=0")-SUMIFS($S$43:$W$43,S50:W50,"",$S$45:$W$45,"=0")&gt;0,"Clear deltas with missing values","")))</f>
        <v/>
      </c>
      <c r="Y50" s="315"/>
      <c r="Z50" s="19"/>
      <c r="AA50" s="48"/>
      <c r="AB50" s="34"/>
      <c r="AC50" s="2"/>
    </row>
    <row r="51" spans="1:29" x14ac:dyDescent="0.2">
      <c r="A51" s="99"/>
      <c r="B51" s="292" t="str">
        <f>Sheet1!B56</f>
        <v>Control</v>
      </c>
      <c r="C51" s="292" t="str">
        <f>Sheet1!C56</f>
        <v>Casey</v>
      </c>
      <c r="D51" s="293"/>
      <c r="E51" s="293"/>
      <c r="F51" s="293">
        <f>IF(F$45&lt;0,0,Sheet1!F56+SUMPRODUCT($F$45:$J$45,Sheet1!$F56:$J56))</f>
        <v>0</v>
      </c>
      <c r="G51" s="293">
        <f>IF(G$45&lt;0,0,Sheet1!G56+SUMPRODUCT($F$45:$J$45,Sheet1!$F56:$J56))</f>
        <v>0</v>
      </c>
      <c r="H51" s="293">
        <f>IF(H$45&lt;0,0,Sheet1!H56+SUMPRODUCT($F$45:$J$45,Sheet1!$F56:$J56))</f>
        <v>10.350000000000023</v>
      </c>
      <c r="I51" s="293">
        <f>IF(I$45&lt;0,0,Sheet1!I56+SUMPRODUCT($F$45:$J$45,Sheet1!$F56:$J56))</f>
        <v>-5.4499999999999886</v>
      </c>
      <c r="J51" s="293">
        <f>IF(J$45&lt;0,0,Sheet1!J56+SUMPRODUCT($F$45:$J$45,Sheet1!$F56:$J56))</f>
        <v>-4.1499999999999773</v>
      </c>
      <c r="K51" s="317" t="str">
        <f>IF(SUMIFS($F$43:$J$43,Sheet1!F56:J56,"",$F$45:$J$45,"&lt;0")&gt;0,IF(OR(SUMIFS($F$42:$J$42,F51:J51,"")=SUM($F$42:$J$42),SUMIFS($F$42:$J$42,F51:J51,"")=SUMIFS($F$42:$J$42,$F$45:$J$45,"=0")),"","Clear all deltas"),IF(SUMIFS($F$43:$J$43,Sheet1!F56:J56,"",$F$45:$J$45,"=0")-SUMIFS($F$43:$J$43,F51:J51,"",$F$45:$J$45,"=0")&gt;0,"Clear deltas with missing values",""))</f>
        <v/>
      </c>
      <c r="L51" s="310"/>
      <c r="M51" s="37"/>
      <c r="N51" s="99"/>
      <c r="O51" s="292" t="str">
        <f t="shared" si="32"/>
        <v>Control</v>
      </c>
      <c r="P51" s="292" t="str">
        <f t="shared" si="33"/>
        <v>Casey</v>
      </c>
      <c r="Q51" s="293"/>
      <c r="R51" s="296"/>
      <c r="S51" s="297">
        <f>IF(S$45&lt;0,0,Sheet1!W56+SUMPRODUCT($F$45:$J$45,Sheet1!$W56:$AA56))</f>
        <v>0</v>
      </c>
      <c r="T51" s="297">
        <f>IF(T$45&lt;0,0,Sheet1!X56+SUMPRODUCT($F$45:$J$45,Sheet1!$W56:$AA56))</f>
        <v>0</v>
      </c>
      <c r="U51" s="297">
        <f>IF(U$45&lt;0,0,Sheet1!Y56+SUMPRODUCT($F$45:$J$45,Sheet1!$W56:$AA56))</f>
        <v>2.5456226331936023</v>
      </c>
      <c r="V51" s="297">
        <f>IF(V$45&lt;0,0,Sheet1!Z56+SUMPRODUCT($F$45:$J$45,Sheet1!$W56:$AA56))</f>
        <v>-1.3618972306015849</v>
      </c>
      <c r="W51" s="297">
        <f>IF(W$45&lt;0,0,Sheet1!AA56+SUMPRODUCT($F$45:$J$45,Sheet1!$W56:$AA56))</f>
        <v>-1.0345646961046668</v>
      </c>
      <c r="X51" s="317" t="str">
        <f>IF(ISERROR(SUM(S51:W51)),"Clear #NUM! in Sheet1",IF(SUMIFS($S$43:$W$43,Sheet1!W56:AA56,"",$S$45:$W$45,"&lt;0")&gt;0,IF(OR(SUMIFS($S$42:$W$42,S51:W51,"")=SUM($S$42:$W$42),SUMIFS($S$42:$W$42,S51:W51,"")=SUMIFS($S$42:$W$42,$S$45:$W$45,"=0")),"","Clear all deltas"),IF(SUMIFS($S$43:$W$43,Sheet1!W56:AA56,"",$S$45:$W$45,"=0")-SUMIFS($S$43:$W$43,S51:W51,"",$S$45:$W$45,"=0")&gt;0,"Clear deltas with missing values","")))</f>
        <v/>
      </c>
      <c r="Y51" s="315"/>
      <c r="Z51" s="19"/>
      <c r="AA51" s="48"/>
      <c r="AB51" s="34"/>
      <c r="AC51" s="2"/>
    </row>
    <row r="52" spans="1:29" x14ac:dyDescent="0.2">
      <c r="A52" s="99"/>
      <c r="B52" s="292" t="str">
        <f>Sheet1!B57</f>
        <v>Control</v>
      </c>
      <c r="C52" s="292" t="str">
        <f>Sheet1!C57</f>
        <v>Chris</v>
      </c>
      <c r="D52" s="293"/>
      <c r="E52" s="293"/>
      <c r="F52" s="293">
        <f>IF(F$45&lt;0,0,Sheet1!F57+SUMPRODUCT($F$45:$J$45,Sheet1!$F57:$J57))</f>
        <v>0</v>
      </c>
      <c r="G52" s="293">
        <f>IF(G$45&lt;0,0,Sheet1!G57+SUMPRODUCT($F$45:$J$45,Sheet1!$F57:$J57))</f>
        <v>0</v>
      </c>
      <c r="H52" s="293">
        <f>IF(H$45&lt;0,0,Sheet1!H57+SUMPRODUCT($F$45:$J$45,Sheet1!$F57:$J57))</f>
        <v>3.4500000000000455</v>
      </c>
      <c r="I52" s="293">
        <f>IF(I$45&lt;0,0,Sheet1!I57+SUMPRODUCT($F$45:$J$45,Sheet1!$F57:$J57))</f>
        <v>-0.84999999999996589</v>
      </c>
      <c r="J52" s="293">
        <f>IF(J$45&lt;0,0,Sheet1!J57+SUMPRODUCT($F$45:$J$45,Sheet1!$F57:$J57))</f>
        <v>2.8500000000000227</v>
      </c>
      <c r="K52" s="317" t="str">
        <f>IF(SUMIFS($F$43:$J$43,Sheet1!F57:J57,"",$F$45:$J$45,"&lt;0")&gt;0,IF(OR(SUMIFS($F$42:$J$42,F52:J52,"")=SUM($F$42:$J$42),SUMIFS($F$42:$J$42,F52:J52,"")=SUMIFS($F$42:$J$42,$F$45:$J$45,"=0")),"","Clear all deltas"),IF(SUMIFS($F$43:$J$43,Sheet1!F57:J57,"",$F$45:$J$45,"=0")-SUMIFS($F$43:$J$43,F52:J52,"",$F$45:$J$45,"=0")&gt;0,"Clear deltas with missing values",""))</f>
        <v/>
      </c>
      <c r="L52" s="310"/>
      <c r="M52" s="37"/>
      <c r="N52" s="99"/>
      <c r="O52" s="292" t="str">
        <f t="shared" si="32"/>
        <v>Control</v>
      </c>
      <c r="P52" s="292" t="str">
        <f t="shared" si="33"/>
        <v>Chris</v>
      </c>
      <c r="Q52" s="293"/>
      <c r="R52" s="296"/>
      <c r="S52" s="297">
        <f>IF(S$45&lt;0,0,Sheet1!W57+SUMPRODUCT($F$45:$J$45,Sheet1!$W57:$AA57))</f>
        <v>0</v>
      </c>
      <c r="T52" s="297">
        <f>IF(T$45&lt;0,0,Sheet1!X57+SUMPRODUCT($F$45:$J$45,Sheet1!$W57:$AA57))</f>
        <v>0</v>
      </c>
      <c r="U52" s="297">
        <f>IF(U$45&lt;0,0,Sheet1!Y57+SUMPRODUCT($F$45:$J$45,Sheet1!$W57:$AA57))</f>
        <v>0.86337116524873636</v>
      </c>
      <c r="V52" s="297">
        <f>IF(V$45&lt;0,0,Sheet1!Z57+SUMPRODUCT($F$45:$J$45,Sheet1!$W57:$AA57))</f>
        <v>-0.20112706589304707</v>
      </c>
      <c r="W52" s="297">
        <f>IF(W$45&lt;0,0,Sheet1!AA57+SUMPRODUCT($F$45:$J$45,Sheet1!$W57:$AA57))</f>
        <v>0.7155150515702644</v>
      </c>
      <c r="X52" s="317" t="str">
        <f>IF(ISERROR(SUM(S52:W52)),"Clear #NUM! in Sheet1",IF(SUMIFS($S$43:$W$43,Sheet1!W57:AA57,"",$S$45:$W$45,"&lt;0")&gt;0,IF(OR(SUMIFS($S$42:$W$42,S52:W52,"")=SUM($S$42:$W$42),SUMIFS($S$42:$W$42,S52:W52,"")=SUMIFS($S$42:$W$42,$S$45:$W$45,"=0")),"","Clear all deltas"),IF(SUMIFS($S$43:$W$43,Sheet1!W57:AA57,"",$S$45:$W$45,"=0")-SUMIFS($S$43:$W$43,S52:W52,"",$S$45:$W$45,"=0")&gt;0,"Clear deltas with missing values","")))</f>
        <v/>
      </c>
      <c r="Y52" s="315"/>
      <c r="Z52" s="19"/>
      <c r="AA52" s="48"/>
      <c r="AB52" s="34"/>
      <c r="AC52" s="2"/>
    </row>
    <row r="53" spans="1:29" x14ac:dyDescent="0.2">
      <c r="A53" s="99"/>
      <c r="B53" s="292" t="str">
        <f>Sheet1!B58</f>
        <v>Control</v>
      </c>
      <c r="C53" s="292" t="str">
        <f>Sheet1!C58</f>
        <v>Corey</v>
      </c>
      <c r="D53" s="293"/>
      <c r="E53" s="293"/>
      <c r="F53" s="293">
        <f>IF(F$45&lt;0,0,Sheet1!F58+SUMPRODUCT($F$45:$J$45,Sheet1!$F58:$J58))</f>
        <v>0</v>
      </c>
      <c r="G53" s="293">
        <f>IF(G$45&lt;0,0,Sheet1!G58+SUMPRODUCT($F$45:$J$45,Sheet1!$F58:$J58))</f>
        <v>0</v>
      </c>
      <c r="H53" s="293">
        <f>IF(H$45&lt;0,0,Sheet1!H58+SUMPRODUCT($F$45:$J$45,Sheet1!$F58:$J58))</f>
        <v>4.1499999999999773</v>
      </c>
      <c r="I53" s="293">
        <f>IF(I$45&lt;0,0,Sheet1!I58+SUMPRODUCT($F$45:$J$45,Sheet1!$F58:$J58))</f>
        <v>3.4499999999999886</v>
      </c>
      <c r="J53" s="293">
        <f>IF(J$45&lt;0,0,Sheet1!J58+SUMPRODUCT($F$45:$J$45,Sheet1!$F58:$J58))</f>
        <v>3.6499999999999773</v>
      </c>
      <c r="K53" s="317" t="str">
        <f>IF(SUMIFS($F$43:$J$43,Sheet1!F58:J58,"",$F$45:$J$45,"&lt;0")&gt;0,IF(OR(SUMIFS($F$42:$J$42,F53:J53,"")=SUM($F$42:$J$42),SUMIFS($F$42:$J$42,F53:J53,"")=SUMIFS($F$42:$J$42,$F$45:$J$45,"=0")),"","Clear all deltas"),IF(SUMIFS($F$43:$J$43,Sheet1!F58:J58,"",$F$45:$J$45,"=0")-SUMIFS($F$43:$J$43,F53:J53,"",$F$45:$J$45,"=0")&gt;0,"Clear deltas with missing values",""))</f>
        <v/>
      </c>
      <c r="L53" s="310"/>
      <c r="M53" s="37"/>
      <c r="N53" s="99"/>
      <c r="O53" s="292" t="str">
        <f t="shared" si="32"/>
        <v>Control</v>
      </c>
      <c r="P53" s="292" t="str">
        <f t="shared" si="33"/>
        <v>Corey</v>
      </c>
      <c r="Q53" s="293"/>
      <c r="R53" s="296"/>
      <c r="S53" s="297">
        <f>IF(S$45&lt;0,0,Sheet1!W58+SUMPRODUCT($F$45:$J$45,Sheet1!$W58:$AA58))</f>
        <v>0</v>
      </c>
      <c r="T53" s="297">
        <f>IF(T$45&lt;0,0,Sheet1!X58+SUMPRODUCT($F$45:$J$45,Sheet1!$W58:$AA58))</f>
        <v>0</v>
      </c>
      <c r="U53" s="297">
        <f>IF(U$45&lt;0,0,Sheet1!Y58+SUMPRODUCT($F$45:$J$45,Sheet1!$W58:$AA58))</f>
        <v>1.0460424048652612</v>
      </c>
      <c r="V53" s="297">
        <f>IF(V$45&lt;0,0,Sheet1!Z58+SUMPRODUCT($F$45:$J$45,Sheet1!$W58:$AA58))</f>
        <v>0.87040567673875557</v>
      </c>
      <c r="W53" s="297">
        <f>IF(W$45&lt;0,0,Sheet1!AA58+SUMPRODUCT($F$45:$J$45,Sheet1!$W58:$AA58))</f>
        <v>0.92061908477342058</v>
      </c>
      <c r="X53" s="317" t="str">
        <f>IF(ISERROR(SUM(S53:W53)),"Clear #NUM! in Sheet1",IF(SUMIFS($S$43:$W$43,Sheet1!W58:AA58,"",$S$45:$W$45,"&lt;0")&gt;0,IF(OR(SUMIFS($S$42:$W$42,S53:W53,"")=SUM($S$42:$W$42),SUMIFS($S$42:$W$42,S53:W53,"")=SUMIFS($S$42:$W$42,$S$45:$W$45,"=0")),"","Clear all deltas"),IF(SUMIFS($S$43:$W$43,Sheet1!W58:AA58,"",$S$45:$W$45,"=0")-SUMIFS($S$43:$W$43,S53:W53,"",$S$45:$W$45,"=0")&gt;0,"Clear deltas with missing values","")))</f>
        <v/>
      </c>
      <c r="Y53" s="315"/>
      <c r="Z53" s="19"/>
      <c r="AA53" s="48"/>
      <c r="AB53" s="34"/>
      <c r="AC53" s="2"/>
    </row>
    <row r="54" spans="1:29" x14ac:dyDescent="0.2">
      <c r="A54" s="99"/>
      <c r="B54" s="292" t="str">
        <f>Sheet1!B59</f>
        <v>Control</v>
      </c>
      <c r="C54" s="292" t="str">
        <f>Sheet1!C59</f>
        <v>Courtney</v>
      </c>
      <c r="D54" s="293"/>
      <c r="E54" s="293"/>
      <c r="F54" s="293">
        <f>IF(F$45&lt;0,0,Sheet1!F59+SUMPRODUCT($F$45:$J$45,Sheet1!$F59:$J59))</f>
        <v>0</v>
      </c>
      <c r="G54" s="293">
        <f>IF(G$45&lt;0,0,Sheet1!G59+SUMPRODUCT($F$45:$J$45,Sheet1!$F59:$J59))</f>
        <v>0</v>
      </c>
      <c r="H54" s="293">
        <f>IF(H$45&lt;0,0,Sheet1!H59+SUMPRODUCT($F$45:$J$45,Sheet1!$F59:$J59))</f>
        <v>-9.6499999999999773</v>
      </c>
      <c r="I54" s="293">
        <f>IF(I$45&lt;0,0,Sheet1!I59+SUMPRODUCT($F$45:$J$45,Sheet1!$F59:$J59))</f>
        <v>-20.649999999999977</v>
      </c>
      <c r="J54" s="293">
        <f>IF(J$45&lt;0,0,Sheet1!J59+SUMPRODUCT($F$45:$J$45,Sheet1!$F59:$J59))</f>
        <v>-10.949999999999932</v>
      </c>
      <c r="K54" s="317" t="str">
        <f>IF(SUMIFS($F$43:$J$43,Sheet1!F59:J59,"",$F$45:$J$45,"&lt;0")&gt;0,IF(OR(SUMIFS($F$42:$J$42,F54:J54,"")=SUM($F$42:$J$42),SUMIFS($F$42:$J$42,F54:J54,"")=SUMIFS($F$42:$J$42,$F$45:$J$45,"=0")),"","Clear all deltas"),IF(SUMIFS($F$43:$J$43,Sheet1!F59:J59,"",$F$45:$J$45,"=0")-SUMIFS($F$43:$J$43,F54:J54,"",$F$45:$J$45,"=0")&gt;0,"Clear deltas with missing values",""))</f>
        <v/>
      </c>
      <c r="L54" s="310"/>
      <c r="M54" s="37"/>
      <c r="N54" s="99"/>
      <c r="O54" s="292" t="str">
        <f t="shared" si="32"/>
        <v>Control</v>
      </c>
      <c r="P54" s="292" t="str">
        <f t="shared" si="33"/>
        <v>Courtney</v>
      </c>
      <c r="Q54" s="293"/>
      <c r="R54" s="296"/>
      <c r="S54" s="297">
        <f>IF(S$45&lt;0,0,Sheet1!W59+SUMPRODUCT($F$45:$J$45,Sheet1!$W59:$AA59))</f>
        <v>0</v>
      </c>
      <c r="T54" s="297">
        <f>IF(T$45&lt;0,0,Sheet1!X59+SUMPRODUCT($F$45:$J$45,Sheet1!$W59:$AA59))</f>
        <v>0</v>
      </c>
      <c r="U54" s="297">
        <f>IF(U$45&lt;0,0,Sheet1!Y59+SUMPRODUCT($F$45:$J$45,Sheet1!$W59:$AA59))</f>
        <v>-2.4192817714707644</v>
      </c>
      <c r="V54" s="297">
        <f>IF(V$45&lt;0,0,Sheet1!Z59+SUMPRODUCT($F$45:$J$45,Sheet1!$W59:$AA59))</f>
        <v>-5.2516029208318287</v>
      </c>
      <c r="W54" s="297">
        <f>IF(W$45&lt;0,0,Sheet1!AA59+SUMPRODUCT($F$45:$J$45,Sheet1!$W59:$AA59))</f>
        <v>-2.7498605849206115</v>
      </c>
      <c r="X54" s="317" t="str">
        <f>IF(ISERROR(SUM(S54:W54)),"Clear #NUM! in Sheet1",IF(SUMIFS($S$43:$W$43,Sheet1!W59:AA59,"",$S$45:$W$45,"&lt;0")&gt;0,IF(OR(SUMIFS($S$42:$W$42,S54:W54,"")=SUM($S$42:$W$42),SUMIFS($S$42:$W$42,S54:W54,"")=SUMIFS($S$42:$W$42,$S$45:$W$45,"=0")),"","Clear all deltas"),IF(SUMIFS($S$43:$W$43,Sheet1!W59:AA59,"",$S$45:$W$45,"=0")-SUMIFS($S$43:$W$43,S54:W54,"",$S$45:$W$45,"=0")&gt;0,"Clear deltas with missing values","")))</f>
        <v/>
      </c>
      <c r="Y54" s="315"/>
      <c r="Z54" s="19"/>
      <c r="AA54" s="48"/>
      <c r="AB54" s="34"/>
      <c r="AC54" s="2"/>
    </row>
    <row r="55" spans="1:29" x14ac:dyDescent="0.2">
      <c r="A55" s="99"/>
      <c r="B55" s="292" t="str">
        <f>Sheet1!B60</f>
        <v>Control</v>
      </c>
      <c r="C55" s="292" t="str">
        <f>Sheet1!C60</f>
        <v>Devon</v>
      </c>
      <c r="D55" s="293"/>
      <c r="E55" s="293"/>
      <c r="F55" s="293">
        <f>IF(F$45&lt;0,0,Sheet1!F60+SUMPRODUCT($F$45:$J$45,Sheet1!$F60:$J60))</f>
        <v>0</v>
      </c>
      <c r="G55" s="293">
        <f>IF(G$45&lt;0,0,Sheet1!G60+SUMPRODUCT($F$45:$J$45,Sheet1!$F60:$J60))</f>
        <v>0</v>
      </c>
      <c r="H55" s="293">
        <f>IF(H$45&lt;0,0,Sheet1!H60+SUMPRODUCT($F$45:$J$45,Sheet1!$F60:$J60))</f>
        <v>-6.6999999999999886</v>
      </c>
      <c r="I55" s="293">
        <f>IF(I$45&lt;0,0,Sheet1!I60+SUMPRODUCT($F$45:$J$45,Sheet1!$F60:$J60))</f>
        <v>-5.5999999999999659</v>
      </c>
      <c r="J55" s="293">
        <f>IF(J$45&lt;0,0,Sheet1!J60+SUMPRODUCT($F$45:$J$45,Sheet1!$F60:$J60))</f>
        <v>-7</v>
      </c>
      <c r="K55" s="317" t="str">
        <f>IF(SUMIFS($F$43:$J$43,Sheet1!F60:J60,"",$F$45:$J$45,"&lt;0")&gt;0,IF(OR(SUMIFS($F$42:$J$42,F55:J55,"")=SUM($F$42:$J$42),SUMIFS($F$42:$J$42,F55:J55,"")=SUMIFS($F$42:$J$42,$F$45:$J$45,"=0")),"","Clear all deltas"),IF(SUMIFS($F$43:$J$43,Sheet1!F60:J60,"",$F$45:$J$45,"=0")-SUMIFS($F$43:$J$43,F55:J55,"",$F$45:$J$45,"=0")&gt;0,"Clear deltas with missing values",""))</f>
        <v/>
      </c>
      <c r="L55" s="310"/>
      <c r="M55" s="37"/>
      <c r="N55" s="99"/>
      <c r="O55" s="292" t="str">
        <f t="shared" si="32"/>
        <v>Control</v>
      </c>
      <c r="P55" s="292" t="str">
        <f t="shared" si="33"/>
        <v>Devon</v>
      </c>
      <c r="Q55" s="293"/>
      <c r="R55" s="296"/>
      <c r="S55" s="297">
        <f>IF(S$45&lt;0,0,Sheet1!W60+SUMPRODUCT($F$45:$J$45,Sheet1!$W60:$AA60))</f>
        <v>0</v>
      </c>
      <c r="T55" s="297">
        <f>IF(T$45&lt;0,0,Sheet1!X60+SUMPRODUCT($F$45:$J$45,Sheet1!$W60:$AA60))</f>
        <v>0</v>
      </c>
      <c r="U55" s="297">
        <f>IF(U$45&lt;0,0,Sheet1!Y60+SUMPRODUCT($F$45:$J$45,Sheet1!$W60:$AA60))</f>
        <v>-1.6362598790425409</v>
      </c>
      <c r="V55" s="297">
        <f>IF(V$45&lt;0,0,Sheet1!Z60+SUMPRODUCT($F$45:$J$45,Sheet1!$W60:$AA60))</f>
        <v>-1.3633407169589873</v>
      </c>
      <c r="W55" s="297">
        <f>IF(W$45&lt;0,0,Sheet1!AA60+SUMPRODUCT($F$45:$J$45,Sheet1!$W60:$AA60))</f>
        <v>-1.710821831049202</v>
      </c>
      <c r="X55" s="317" t="str">
        <f>IF(ISERROR(SUM(S55:W55)),"Clear #NUM! in Sheet1",IF(SUMIFS($S$43:$W$43,Sheet1!W60:AA60,"",$S$45:$W$45,"&lt;0")&gt;0,IF(OR(SUMIFS($S$42:$W$42,S55:W55,"")=SUM($S$42:$W$42),SUMIFS($S$42:$W$42,S55:W55,"")=SUMIFS($S$42:$W$42,$S$45:$W$45,"=0")),"","Clear all deltas"),IF(SUMIFS($S$43:$W$43,Sheet1!W60:AA60,"",$S$45:$W$45,"=0")-SUMIFS($S$43:$W$43,S55:W55,"",$S$45:$W$45,"=0")&gt;0,"Clear deltas with missing values","")))</f>
        <v/>
      </c>
      <c r="Y55" s="315"/>
      <c r="Z55" s="19"/>
      <c r="AA55" s="48"/>
      <c r="AB55" s="34"/>
      <c r="AC55" s="2"/>
    </row>
    <row r="56" spans="1:29" x14ac:dyDescent="0.2">
      <c r="A56" s="99"/>
      <c r="B56" s="292" t="str">
        <f>Sheet1!B61</f>
        <v>Control</v>
      </c>
      <c r="C56" s="292" t="str">
        <f>Sheet1!C61</f>
        <v>Drew</v>
      </c>
      <c r="D56" s="293"/>
      <c r="E56" s="293"/>
      <c r="F56" s="293">
        <f>IF(F$45&lt;0,0,Sheet1!F61+SUMPRODUCT($F$45:$J$45,Sheet1!$F61:$J61))</f>
        <v>0</v>
      </c>
      <c r="G56" s="293">
        <f>IF(G$45&lt;0,0,Sheet1!G61+SUMPRODUCT($F$45:$J$45,Sheet1!$F61:$J61))</f>
        <v>0</v>
      </c>
      <c r="H56" s="293">
        <f>IF(H$45&lt;0,0,Sheet1!H61+SUMPRODUCT($F$45:$J$45,Sheet1!$F61:$J61))</f>
        <v>0.44999999999998863</v>
      </c>
      <c r="I56" s="293">
        <f>IF(I$45&lt;0,0,Sheet1!I61+SUMPRODUCT($F$45:$J$45,Sheet1!$F61:$J61))</f>
        <v>-8.1499999999999773</v>
      </c>
      <c r="J56" s="293">
        <f>IF(J$45&lt;0,0,Sheet1!J61+SUMPRODUCT($F$45:$J$45,Sheet1!$F61:$J61))</f>
        <v>6.1500000000000341</v>
      </c>
      <c r="K56" s="317" t="str">
        <f>IF(SUMIFS($F$43:$J$43,Sheet1!F61:J61,"",$F$45:$J$45,"&lt;0")&gt;0,IF(OR(SUMIFS($F$42:$J$42,F56:J56,"")=SUM($F$42:$J$42),SUMIFS($F$42:$J$42,F56:J56,"")=SUMIFS($F$42:$J$42,$F$45:$J$45,"=0")),"","Clear all deltas"),IF(SUMIFS($F$43:$J$43,Sheet1!F61:J61,"",$F$45:$J$45,"=0")-SUMIFS($F$43:$J$43,F56:J56,"",$F$45:$J$45,"=0")&gt;0,"Clear deltas with missing values",""))</f>
        <v/>
      </c>
      <c r="L56" s="310"/>
      <c r="M56" s="37"/>
      <c r="N56" s="99"/>
      <c r="O56" s="292" t="str">
        <f t="shared" si="32"/>
        <v>Control</v>
      </c>
      <c r="P56" s="292" t="str">
        <f t="shared" si="33"/>
        <v>Drew</v>
      </c>
      <c r="Q56" s="293"/>
      <c r="R56" s="296"/>
      <c r="S56" s="297">
        <f>IF(S$45&lt;0,0,Sheet1!W61+SUMPRODUCT($F$45:$J$45,Sheet1!$W61:$AA61))</f>
        <v>0</v>
      </c>
      <c r="T56" s="297">
        <f>IF(T$45&lt;0,0,Sheet1!X61+SUMPRODUCT($F$45:$J$45,Sheet1!$W61:$AA61))</f>
        <v>0</v>
      </c>
      <c r="U56" s="297">
        <f>IF(U$45&lt;0,0,Sheet1!Y61+SUMPRODUCT($F$45:$J$45,Sheet1!$W61:$AA61))</f>
        <v>0.12398194019681341</v>
      </c>
      <c r="V56" s="297">
        <f>IF(V$45&lt;0,0,Sheet1!Z61+SUMPRODUCT($F$45:$J$45,Sheet1!$W61:$AA61))</f>
        <v>-2.0363633178536702</v>
      </c>
      <c r="W56" s="297">
        <f>IF(W$45&lt;0,0,Sheet1!AA61+SUMPRODUCT($F$45:$J$45,Sheet1!$W61:$AA61))</f>
        <v>1.5305443028198624</v>
      </c>
      <c r="X56" s="317" t="str">
        <f>IF(ISERROR(SUM(S56:W56)),"Clear #NUM! in Sheet1",IF(SUMIFS($S$43:$W$43,Sheet1!W61:AA61,"",$S$45:$W$45,"&lt;0")&gt;0,IF(OR(SUMIFS($S$42:$W$42,S56:W56,"")=SUM($S$42:$W$42),SUMIFS($S$42:$W$42,S56:W56,"")=SUMIFS($S$42:$W$42,$S$45:$W$45,"=0")),"","Clear all deltas"),IF(SUMIFS($S$43:$W$43,Sheet1!W61:AA61,"",$S$45:$W$45,"=0")-SUMIFS($S$43:$W$43,S56:W56,"",$S$45:$W$45,"=0")&gt;0,"Clear deltas with missing values","")))</f>
        <v/>
      </c>
      <c r="Y56" s="315"/>
      <c r="Z56" s="19"/>
      <c r="AA56" s="48"/>
      <c r="AB56" s="34"/>
      <c r="AC56" s="2"/>
    </row>
    <row r="57" spans="1:29" x14ac:dyDescent="0.2">
      <c r="A57" s="99"/>
      <c r="B57" s="292" t="str">
        <f>Sheet1!B62</f>
        <v>Control</v>
      </c>
      <c r="C57" s="292" t="str">
        <f>Sheet1!C62</f>
        <v>Dylan</v>
      </c>
      <c r="D57" s="293"/>
      <c r="E57" s="293"/>
      <c r="F57" s="293">
        <f>IF(F$45&lt;0,0,Sheet1!F62+SUMPRODUCT($F$45:$J$45,Sheet1!$F62:$J62))</f>
        <v>0</v>
      </c>
      <c r="G57" s="293">
        <f>IF(G$45&lt;0,0,Sheet1!G62+SUMPRODUCT($F$45:$J$45,Sheet1!$F62:$J62))</f>
        <v>0</v>
      </c>
      <c r="H57" s="293">
        <f>IF(H$45&lt;0,0,Sheet1!H62+SUMPRODUCT($F$45:$J$45,Sheet1!$F62:$J62))</f>
        <v>-4.4499999999999886</v>
      </c>
      <c r="I57" s="293">
        <f>IF(I$45&lt;0,0,Sheet1!I62+SUMPRODUCT($F$45:$J$45,Sheet1!$F62:$J62))</f>
        <v>-1.8500000000000227</v>
      </c>
      <c r="J57" s="293">
        <f>IF(J$45&lt;0,0,Sheet1!J62+SUMPRODUCT($F$45:$J$45,Sheet1!$F62:$J62))</f>
        <v>-12.050000000000011</v>
      </c>
      <c r="K57" s="317" t="str">
        <f>IF(SUMIFS($F$43:$J$43,Sheet1!F62:J62,"",$F$45:$J$45,"&lt;0")&gt;0,IF(OR(SUMIFS($F$42:$J$42,F57:J57,"")=SUM($F$42:$J$42),SUMIFS($F$42:$J$42,F57:J57,"")=SUMIFS($F$42:$J$42,$F$45:$J$45,"=0")),"","Clear all deltas"),IF(SUMIFS($F$43:$J$43,Sheet1!F62:J62,"",$F$45:$J$45,"=0")-SUMIFS($F$43:$J$43,F57:J57,"",$F$45:$J$45,"=0")&gt;0,"Clear deltas with missing values",""))</f>
        <v/>
      </c>
      <c r="L57" s="310"/>
      <c r="M57" s="37"/>
      <c r="N57" s="99"/>
      <c r="O57" s="292" t="str">
        <f t="shared" si="32"/>
        <v>Control</v>
      </c>
      <c r="P57" s="292" t="str">
        <f t="shared" si="33"/>
        <v>Dylan</v>
      </c>
      <c r="Q57" s="293"/>
      <c r="R57" s="296"/>
      <c r="S57" s="297">
        <f>IF(S$45&lt;0,0,Sheet1!W62+SUMPRODUCT($F$45:$J$45,Sheet1!$W62:$AA62))</f>
        <v>0</v>
      </c>
      <c r="T57" s="297">
        <f>IF(T$45&lt;0,0,Sheet1!X62+SUMPRODUCT($F$45:$J$45,Sheet1!$W62:$AA62))</f>
        <v>0</v>
      </c>
      <c r="U57" s="297">
        <f>IF(U$45&lt;0,0,Sheet1!Y62+SUMPRODUCT($F$45:$J$45,Sheet1!$W62:$AA62))</f>
        <v>-1.1021332193988655</v>
      </c>
      <c r="V57" s="297">
        <f>IF(V$45&lt;0,0,Sheet1!Z62+SUMPRODUCT($F$45:$J$45,Sheet1!$W62:$AA62))</f>
        <v>-0.45229339194338536</v>
      </c>
      <c r="W57" s="297">
        <f>IF(W$45&lt;0,0,Sheet1!AA62+SUMPRODUCT($F$45:$J$45,Sheet1!$W62:$AA62))</f>
        <v>-3.0262432121008942</v>
      </c>
      <c r="X57" s="317" t="str">
        <f>IF(ISERROR(SUM(S57:W57)),"Clear #NUM! in Sheet1",IF(SUMIFS($S$43:$W$43,Sheet1!W62:AA62,"",$S$45:$W$45,"&lt;0")&gt;0,IF(OR(SUMIFS($S$42:$W$42,S57:W57,"")=SUM($S$42:$W$42),SUMIFS($S$42:$W$42,S57:W57,"")=SUMIFS($S$42:$W$42,$S$45:$W$45,"=0")),"","Clear all deltas"),IF(SUMIFS($S$43:$W$43,Sheet1!W62:AA62,"",$S$45:$W$45,"=0")-SUMIFS($S$43:$W$43,S57:W57,"",$S$45:$W$45,"=0")&gt;0,"Clear deltas with missing values","")))</f>
        <v/>
      </c>
      <c r="Y57" s="315"/>
      <c r="Z57" s="19"/>
      <c r="AA57" s="48"/>
      <c r="AB57" s="34"/>
      <c r="AC57" s="2"/>
    </row>
    <row r="58" spans="1:29" x14ac:dyDescent="0.2">
      <c r="A58" s="99"/>
      <c r="B58" s="292" t="str">
        <f>Sheet1!B63</f>
        <v>Control</v>
      </c>
      <c r="C58" s="292" t="str">
        <f>Sheet1!C63</f>
        <v>Frances</v>
      </c>
      <c r="D58" s="293"/>
      <c r="E58" s="293"/>
      <c r="F58" s="293">
        <f>IF(F$45&lt;0,0,Sheet1!F63+SUMPRODUCT($F$45:$J$45,Sheet1!$F63:$J63))</f>
        <v>0</v>
      </c>
      <c r="G58" s="293">
        <f>IF(G$45&lt;0,0,Sheet1!G63+SUMPRODUCT($F$45:$J$45,Sheet1!$F63:$J63))</f>
        <v>0</v>
      </c>
      <c r="H58" s="293">
        <f>IF(H$45&lt;0,0,Sheet1!H63+SUMPRODUCT($F$45:$J$45,Sheet1!$F63:$J63))</f>
        <v>-1.1000000000000227</v>
      </c>
      <c r="I58" s="293">
        <f>IF(I$45&lt;0,0,Sheet1!I63+SUMPRODUCT($F$45:$J$45,Sheet1!$F63:$J63))</f>
        <v>-6.7000000000000455</v>
      </c>
      <c r="J58" s="293">
        <f>IF(J$45&lt;0,0,Sheet1!J63+SUMPRODUCT($F$45:$J$45,Sheet1!$F63:$J63))</f>
        <v>-2.9000000000000341</v>
      </c>
      <c r="K58" s="317" t="str">
        <f>IF(SUMIFS($F$43:$J$43,Sheet1!F63:J63,"",$F$45:$J$45,"&lt;0")&gt;0,IF(OR(SUMIFS($F$42:$J$42,F58:J58,"")=SUM($F$42:$J$42),SUMIFS($F$42:$J$42,F58:J58,"")=SUMIFS($F$42:$J$42,$F$45:$J$45,"=0")),"","Clear all deltas"),IF(SUMIFS($F$43:$J$43,Sheet1!F63:J63,"",$F$45:$J$45,"=0")-SUMIFS($F$43:$J$43,F58:J58,"",$F$45:$J$45,"=0")&gt;0,"Clear deltas with missing values",""))</f>
        <v/>
      </c>
      <c r="L58" s="310"/>
      <c r="M58" s="37"/>
      <c r="N58" s="99"/>
      <c r="O58" s="292" t="str">
        <f t="shared" si="32"/>
        <v>Control</v>
      </c>
      <c r="P58" s="292" t="str">
        <f t="shared" si="33"/>
        <v>Frances</v>
      </c>
      <c r="Q58" s="293"/>
      <c r="R58" s="296"/>
      <c r="S58" s="297">
        <f>IF(S$45&lt;0,0,Sheet1!W63+SUMPRODUCT($F$45:$J$45,Sheet1!$W63:$AA63))</f>
        <v>0</v>
      </c>
      <c r="T58" s="297">
        <f>IF(T$45&lt;0,0,Sheet1!X63+SUMPRODUCT($F$45:$J$45,Sheet1!$W63:$AA63))</f>
        <v>0</v>
      </c>
      <c r="U58" s="297">
        <f>IF(U$45&lt;0,0,Sheet1!Y63+SUMPRODUCT($F$45:$J$45,Sheet1!$W63:$AA63))</f>
        <v>-0.27479877920086437</v>
      </c>
      <c r="V58" s="297">
        <f>IF(V$45&lt;0,0,Sheet1!Z63+SUMPRODUCT($F$45:$J$45,Sheet1!$W63:$AA63))</f>
        <v>-1.6914680575816874</v>
      </c>
      <c r="W58" s="297">
        <f>IF(W$45&lt;0,0,Sheet1!AA63+SUMPRODUCT($F$45:$J$45,Sheet1!$W63:$AA63))</f>
        <v>-0.72797176018912069</v>
      </c>
      <c r="X58" s="317" t="str">
        <f>IF(ISERROR(SUM(S58:W58)),"Clear #NUM! in Sheet1",IF(SUMIFS($S$43:$W$43,Sheet1!W63:AA63,"",$S$45:$W$45,"&lt;0")&gt;0,IF(OR(SUMIFS($S$42:$W$42,S58:W58,"")=SUM($S$42:$W$42),SUMIFS($S$42:$W$42,S58:W58,"")=SUMIFS($S$42:$W$42,$S$45:$W$45,"=0")),"","Clear all deltas"),IF(SUMIFS($S$43:$W$43,Sheet1!W63:AA63,"",$S$45:$W$45,"=0")-SUMIFS($S$43:$W$43,S58:W58,"",$S$45:$W$45,"=0")&gt;0,"Clear deltas with missing values","")))</f>
        <v/>
      </c>
      <c r="Y58" s="315"/>
      <c r="Z58" s="19"/>
      <c r="AA58" s="48"/>
      <c r="AB58" s="34"/>
      <c r="AC58" s="2"/>
    </row>
    <row r="59" spans="1:29" x14ac:dyDescent="0.2">
      <c r="A59" s="99"/>
      <c r="B59" s="292" t="str">
        <f>Sheet1!B64</f>
        <v>Control</v>
      </c>
      <c r="C59" s="292" t="str">
        <f>Sheet1!C64</f>
        <v>Gene</v>
      </c>
      <c r="D59" s="293"/>
      <c r="E59" s="293"/>
      <c r="F59" s="293">
        <f>IF(F$45&lt;0,0,Sheet1!F64+SUMPRODUCT($F$45:$J$45,Sheet1!$F64:$J64))</f>
        <v>0</v>
      </c>
      <c r="G59" s="293">
        <f>IF(G$45&lt;0,0,Sheet1!G64+SUMPRODUCT($F$45:$J$45,Sheet1!$F64:$J64))</f>
        <v>0</v>
      </c>
      <c r="H59" s="293">
        <f>IF(H$45&lt;0,0,Sheet1!H64+SUMPRODUCT($F$45:$J$45,Sheet1!$F64:$J64))</f>
        <v>8.9499999999999318</v>
      </c>
      <c r="I59" s="293">
        <f>IF(I$45&lt;0,0,Sheet1!I64+SUMPRODUCT($F$45:$J$45,Sheet1!$F64:$J64))</f>
        <v>-0.55000000000006821</v>
      </c>
      <c r="J59" s="293">
        <f>IF(J$45&lt;0,0,Sheet1!J64+SUMPRODUCT($F$45:$J$45,Sheet1!$F64:$J64))</f>
        <v>-4.1500000000000341</v>
      </c>
      <c r="K59" s="317" t="str">
        <f>IF(SUMIFS($F$43:$J$43,Sheet1!F64:J64,"",$F$45:$J$45,"&lt;0")&gt;0,IF(OR(SUMIFS($F$42:$J$42,F59:J59,"")=SUM($F$42:$J$42),SUMIFS($F$42:$J$42,F59:J59,"")=SUMIFS($F$42:$J$42,$F$45:$J$45,"=0")),"","Clear all deltas"),IF(SUMIFS($F$43:$J$43,Sheet1!F64:J64,"",$F$45:$J$45,"=0")-SUMIFS($F$43:$J$43,F59:J59,"",$F$45:$J$45,"=0")&gt;0,"Clear deltas with missing values",""))</f>
        <v/>
      </c>
      <c r="L59" s="310"/>
      <c r="M59" s="37"/>
      <c r="N59" s="99"/>
      <c r="O59" s="292" t="str">
        <f t="shared" si="32"/>
        <v>Control</v>
      </c>
      <c r="P59" s="292" t="str">
        <f t="shared" si="33"/>
        <v>Gene</v>
      </c>
      <c r="Q59" s="293"/>
      <c r="R59" s="296"/>
      <c r="S59" s="297">
        <f>IF(S$45&lt;0,0,Sheet1!W64+SUMPRODUCT($F$45:$J$45,Sheet1!$W64:$AA64))</f>
        <v>0</v>
      </c>
      <c r="T59" s="297">
        <f>IF(T$45&lt;0,0,Sheet1!X64+SUMPRODUCT($F$45:$J$45,Sheet1!$W64:$AA64))</f>
        <v>0</v>
      </c>
      <c r="U59" s="297">
        <f>IF(U$45&lt;0,0,Sheet1!Y64+SUMPRODUCT($F$45:$J$45,Sheet1!$W64:$AA64))</f>
        <v>2.2343215865220145</v>
      </c>
      <c r="V59" s="297">
        <f>IF(V$45&lt;0,0,Sheet1!Z64+SUMPRODUCT($F$45:$J$45,Sheet1!$W64:$AA64))</f>
        <v>-0.13103206100322495</v>
      </c>
      <c r="W59" s="297">
        <f>IF(W$45&lt;0,0,Sheet1!AA64+SUMPRODUCT($F$45:$J$45,Sheet1!$W64:$AA64))</f>
        <v>-1.0422000961287949</v>
      </c>
      <c r="X59" s="317" t="str">
        <f>IF(ISERROR(SUM(S59:W59)),"Clear #NUM! in Sheet1",IF(SUMIFS($S$43:$W$43,Sheet1!W64:AA64,"",$S$45:$W$45,"&lt;0")&gt;0,IF(OR(SUMIFS($S$42:$W$42,S59:W59,"")=SUM($S$42:$W$42),SUMIFS($S$42:$W$42,S59:W59,"")=SUMIFS($S$42:$W$42,$S$45:$W$45,"=0")),"","Clear all deltas"),IF(SUMIFS($S$43:$W$43,Sheet1!W64:AA64,"",$S$45:$W$45,"=0")-SUMIFS($S$43:$W$43,S59:W59,"",$S$45:$W$45,"=0")&gt;0,"Clear deltas with missing values","")))</f>
        <v/>
      </c>
      <c r="Y59" s="315"/>
      <c r="Z59" s="19"/>
      <c r="AA59" s="48"/>
      <c r="AB59" s="34"/>
      <c r="AC59" s="2"/>
    </row>
    <row r="60" spans="1:29" x14ac:dyDescent="0.2">
      <c r="A60" s="99"/>
      <c r="B60" s="292" t="str">
        <f>Sheet1!B65</f>
        <v>Control</v>
      </c>
      <c r="C60" s="292" t="str">
        <f>Sheet1!C65</f>
        <v>Jaimie</v>
      </c>
      <c r="D60" s="293"/>
      <c r="E60" s="293"/>
      <c r="F60" s="293">
        <f>IF(F$45&lt;0,0,Sheet1!F65+SUMPRODUCT($F$45:$J$45,Sheet1!$F65:$J65))</f>
        <v>0</v>
      </c>
      <c r="G60" s="293">
        <f>IF(G$45&lt;0,0,Sheet1!G65+SUMPRODUCT($F$45:$J$45,Sheet1!$F65:$J65))</f>
        <v>0</v>
      </c>
      <c r="H60" s="293">
        <f>IF(H$45&lt;0,0,Sheet1!H65+SUMPRODUCT($F$45:$J$45,Sheet1!$F65:$J65))</f>
        <v>-1.8000000000000114</v>
      </c>
      <c r="I60" s="293">
        <f>IF(I$45&lt;0,0,Sheet1!I65+SUMPRODUCT($F$45:$J$45,Sheet1!$F65:$J65))</f>
        <v>0</v>
      </c>
      <c r="J60" s="293">
        <f>IF(J$45&lt;0,0,Sheet1!J65+SUMPRODUCT($F$45:$J$45,Sheet1!$F65:$J65))</f>
        <v>2.6999999999999886</v>
      </c>
      <c r="K60" s="317" t="str">
        <f>IF(SUMIFS($F$43:$J$43,Sheet1!F65:J65,"",$F$45:$J$45,"&lt;0")&gt;0,IF(OR(SUMIFS($F$42:$J$42,F60:J60,"")=SUM($F$42:$J$42),SUMIFS($F$42:$J$42,F60:J60,"")=SUMIFS($F$42:$J$42,$F$45:$J$45,"=0")),"","Clear all deltas"),IF(SUMIFS($F$43:$J$43,Sheet1!F65:J65,"",$F$45:$J$45,"=0")-SUMIFS($F$43:$J$43,F60:J60,"",$F$45:$J$45,"=0")&gt;0,"Clear deltas with missing values",""))</f>
        <v/>
      </c>
      <c r="L60" s="310"/>
      <c r="M60" s="37"/>
      <c r="N60" s="99"/>
      <c r="O60" s="292" t="str">
        <f t="shared" si="32"/>
        <v>Control</v>
      </c>
      <c r="P60" s="292" t="str">
        <f t="shared" si="33"/>
        <v>Jaimie</v>
      </c>
      <c r="Q60" s="293"/>
      <c r="R60" s="296"/>
      <c r="S60" s="297">
        <f>IF(S$45&lt;0,0,Sheet1!W65+SUMPRODUCT($F$45:$J$45,Sheet1!$W65:$AA65))</f>
        <v>0</v>
      </c>
      <c r="T60" s="297">
        <f>IF(T$45&lt;0,0,Sheet1!X65+SUMPRODUCT($F$45:$J$45,Sheet1!$W65:$AA65))</f>
        <v>0</v>
      </c>
      <c r="U60" s="297">
        <f>IF(U$45&lt;0,0,Sheet1!Y65+SUMPRODUCT($F$45:$J$45,Sheet1!$W65:$AA65))</f>
        <v>-0.43724022209187297</v>
      </c>
      <c r="V60" s="297">
        <f>IF(V$45&lt;0,0,Sheet1!Z65+SUMPRODUCT($F$45:$J$45,Sheet1!$W65:$AA65))</f>
        <v>4.8037197160510914E-3</v>
      </c>
      <c r="W60" s="297">
        <f>IF(W$45&lt;0,0,Sheet1!AA65+SUMPRODUCT($F$45:$J$45,Sheet1!$W65:$AA65))</f>
        <v>0.66422728398038089</v>
      </c>
      <c r="X60" s="317" t="str">
        <f>IF(ISERROR(SUM(S60:W60)),"Clear #NUM! in Sheet1",IF(SUMIFS($S$43:$W$43,Sheet1!W65:AA65,"",$S$45:$W$45,"&lt;0")&gt;0,IF(OR(SUMIFS($S$42:$W$42,S60:W60,"")=SUM($S$42:$W$42),SUMIFS($S$42:$W$42,S60:W60,"")=SUMIFS($S$42:$W$42,$S$45:$W$45,"=0")),"","Clear all deltas"),IF(SUMIFS($S$43:$W$43,Sheet1!W65:AA65,"",$S$45:$W$45,"=0")-SUMIFS($S$43:$W$43,S60:W60,"",$S$45:$W$45,"=0")&gt;0,"Clear deltas with missing values","")))</f>
        <v/>
      </c>
      <c r="Y60" s="315"/>
      <c r="Z60" s="19"/>
      <c r="AA60" s="48"/>
      <c r="AB60" s="34"/>
      <c r="AC60" s="2"/>
    </row>
    <row r="61" spans="1:29" x14ac:dyDescent="0.2">
      <c r="A61" s="99"/>
      <c r="B61" s="292" t="str">
        <f>Sheet1!B66</f>
        <v>Control</v>
      </c>
      <c r="C61" s="292" t="str">
        <f>Sheet1!C66</f>
        <v>Jean</v>
      </c>
      <c r="D61" s="293"/>
      <c r="E61" s="293"/>
      <c r="F61" s="293">
        <f>IF(F$45&lt;0,0,Sheet1!F66+SUMPRODUCT($F$45:$J$45,Sheet1!$F66:$J66))</f>
        <v>0</v>
      </c>
      <c r="G61" s="293">
        <f>IF(G$45&lt;0,0,Sheet1!G66+SUMPRODUCT($F$45:$J$45,Sheet1!$F66:$J66))</f>
        <v>0</v>
      </c>
      <c r="H61" s="293">
        <f>IF(H$45&lt;0,0,Sheet1!H66+SUMPRODUCT($F$45:$J$45,Sheet1!$F66:$J66))</f>
        <v>0.60000000000002274</v>
      </c>
      <c r="I61" s="293">
        <f>IF(I$45&lt;0,0,Sheet1!I66+SUMPRODUCT($F$45:$J$45,Sheet1!$F66:$J66))</f>
        <v>-6.2999999999999545</v>
      </c>
      <c r="J61" s="293">
        <f>IF(J$45&lt;0,0,Sheet1!J66+SUMPRODUCT($F$45:$J$45,Sheet1!$F66:$J66))</f>
        <v>4.4000000000000341</v>
      </c>
      <c r="K61" s="317" t="str">
        <f>IF(SUMIFS($F$43:$J$43,Sheet1!F66:J66,"",$F$45:$J$45,"&lt;0")&gt;0,IF(OR(SUMIFS($F$42:$J$42,F61:J61,"")=SUM($F$42:$J$42),SUMIFS($F$42:$J$42,F61:J61,"")=SUMIFS($F$42:$J$42,$F$45:$J$45,"=0")),"","Clear all deltas"),IF(SUMIFS($F$43:$J$43,Sheet1!F66:J66,"",$F$45:$J$45,"=0")-SUMIFS($F$43:$J$43,F61:J61,"",$F$45:$J$45,"=0")&gt;0,"Clear deltas with missing values",""))</f>
        <v/>
      </c>
      <c r="L61" s="310"/>
      <c r="M61" s="37"/>
      <c r="N61" s="99"/>
      <c r="O61" s="292" t="str">
        <f t="shared" si="32"/>
        <v>Control</v>
      </c>
      <c r="P61" s="292" t="str">
        <f t="shared" si="33"/>
        <v>Jean</v>
      </c>
      <c r="Q61" s="293"/>
      <c r="R61" s="296"/>
      <c r="S61" s="297">
        <f>IF(S$45&lt;0,0,Sheet1!W66+SUMPRODUCT($F$45:$J$45,Sheet1!$W66:$AA66))</f>
        <v>0</v>
      </c>
      <c r="T61" s="297">
        <f>IF(T$45&lt;0,0,Sheet1!X66+SUMPRODUCT($F$45:$J$45,Sheet1!$W66:$AA66))</f>
        <v>0</v>
      </c>
      <c r="U61" s="297">
        <f>IF(U$45&lt;0,0,Sheet1!Y66+SUMPRODUCT($F$45:$J$45,Sheet1!$W66:$AA66))</f>
        <v>0.15295577378890357</v>
      </c>
      <c r="V61" s="297">
        <f>IF(V$45&lt;0,0,Sheet1!Z66+SUMPRODUCT($F$45:$J$45,Sheet1!$W66:$AA66))</f>
        <v>-1.5463832349544191</v>
      </c>
      <c r="W61" s="297">
        <f>IF(W$45&lt;0,0,Sheet1!AA66+SUMPRODUCT($F$45:$J$45,Sheet1!$W66:$AA66))</f>
        <v>1.0766375962450638</v>
      </c>
      <c r="X61" s="317" t="str">
        <f>IF(ISERROR(SUM(S61:W61)),"Clear #NUM! in Sheet1",IF(SUMIFS($S$43:$W$43,Sheet1!W66:AA66,"",$S$45:$W$45,"&lt;0")&gt;0,IF(OR(SUMIFS($S$42:$W$42,S61:W61,"")=SUM($S$42:$W$42),SUMIFS($S$42:$W$42,S61:W61,"")=SUMIFS($S$42:$W$42,$S$45:$W$45,"=0")),"","Clear all deltas"),IF(SUMIFS($S$43:$W$43,Sheet1!W66:AA66,"",$S$45:$W$45,"=0")-SUMIFS($S$43:$W$43,S61:W61,"",$S$45:$W$45,"=0")&gt;0,"Clear deltas with missing values","")))</f>
        <v/>
      </c>
      <c r="Y61" s="315"/>
      <c r="Z61" s="19"/>
      <c r="AA61" s="48"/>
      <c r="AB61" s="34"/>
      <c r="AC61" s="2"/>
    </row>
    <row r="62" spans="1:29" x14ac:dyDescent="0.2">
      <c r="A62" s="99"/>
      <c r="B62" s="292" t="str">
        <f>Sheet1!B67</f>
        <v>Control</v>
      </c>
      <c r="C62" s="292" t="str">
        <f>Sheet1!C67</f>
        <v>Jesse</v>
      </c>
      <c r="D62" s="293"/>
      <c r="E62" s="293"/>
      <c r="F62" s="293">
        <f>IF(F$45&lt;0,0,Sheet1!F67+SUMPRODUCT($F$45:$J$45,Sheet1!$F67:$J67))</f>
        <v>0</v>
      </c>
      <c r="G62" s="293">
        <f>IF(G$45&lt;0,0,Sheet1!G67+SUMPRODUCT($F$45:$J$45,Sheet1!$F67:$J67))</f>
        <v>0</v>
      </c>
      <c r="H62" s="293">
        <f>IF(H$45&lt;0,0,Sheet1!H67+SUMPRODUCT($F$45:$J$45,Sheet1!$F67:$J67))</f>
        <v>4.3499999999999659</v>
      </c>
      <c r="I62" s="293">
        <f>IF(I$45&lt;0,0,Sheet1!I67+SUMPRODUCT($F$45:$J$45,Sheet1!$F67:$J67))</f>
        <v>-7.3500000000000227</v>
      </c>
      <c r="J62" s="293">
        <f>IF(J$45&lt;0,0,Sheet1!J67+SUMPRODUCT($F$45:$J$45,Sheet1!$F67:$J67))</f>
        <v>-2.3500000000000227</v>
      </c>
      <c r="K62" s="317" t="str">
        <f>IF(SUMIFS($F$43:$J$43,Sheet1!F67:J67,"",$F$45:$J$45,"&lt;0")&gt;0,IF(OR(SUMIFS($F$42:$J$42,F62:J62,"")=SUM($F$42:$J$42),SUMIFS($F$42:$J$42,F62:J62,"")=SUMIFS($F$42:$J$42,$F$45:$J$45,"=0")),"","Clear all deltas"),IF(SUMIFS($F$43:$J$43,Sheet1!F67:J67,"",$F$45:$J$45,"=0")-SUMIFS($F$43:$J$43,F62:J62,"",$F$45:$J$45,"=0")&gt;0,"Clear deltas with missing values",""))</f>
        <v/>
      </c>
      <c r="L62" s="310"/>
      <c r="M62" s="37"/>
      <c r="N62" s="99"/>
      <c r="O62" s="292" t="str">
        <f t="shared" si="32"/>
        <v>Control</v>
      </c>
      <c r="P62" s="292" t="str">
        <f t="shared" si="33"/>
        <v>Jesse</v>
      </c>
      <c r="Q62" s="293"/>
      <c r="R62" s="296"/>
      <c r="S62" s="297">
        <f>IF(S$45&lt;0,0,Sheet1!W67+SUMPRODUCT($F$45:$J$45,Sheet1!$W67:$AA67))</f>
        <v>0</v>
      </c>
      <c r="T62" s="297">
        <f>IF(T$45&lt;0,0,Sheet1!X67+SUMPRODUCT($F$45:$J$45,Sheet1!$W67:$AA67))</f>
        <v>0</v>
      </c>
      <c r="U62" s="297">
        <f>IF(U$45&lt;0,0,Sheet1!Y67+SUMPRODUCT($F$45:$J$45,Sheet1!$W67:$AA67))</f>
        <v>1.0941203951267653</v>
      </c>
      <c r="V62" s="297">
        <f>IF(V$45&lt;0,0,Sheet1!Z67+SUMPRODUCT($F$45:$J$45,Sheet1!$W67:$AA67))</f>
        <v>-1.8730048390663114</v>
      </c>
      <c r="W62" s="297">
        <f>IF(W$45&lt;0,0,Sheet1!AA67+SUMPRODUCT($F$45:$J$45,Sheet1!$W67:$AA67))</f>
        <v>-0.59421503409078014</v>
      </c>
      <c r="X62" s="317" t="str">
        <f>IF(ISERROR(SUM(S62:W62)),"Clear #NUM! in Sheet1",IF(SUMIFS($S$43:$W$43,Sheet1!W67:AA67,"",$S$45:$W$45,"&lt;0")&gt;0,IF(OR(SUMIFS($S$42:$W$42,S62:W62,"")=SUM($S$42:$W$42),SUMIFS($S$42:$W$42,S62:W62,"")=SUMIFS($S$42:$W$42,$S$45:$W$45,"=0")),"","Clear all deltas"),IF(SUMIFS($S$43:$W$43,Sheet1!W67:AA67,"",$S$45:$W$45,"=0")-SUMIFS($S$43:$W$43,S62:W62,"",$S$45:$W$45,"=0")&gt;0,"Clear deltas with missing values","")))</f>
        <v/>
      </c>
      <c r="Y62" s="315"/>
      <c r="Z62" s="19"/>
      <c r="AA62" s="48"/>
      <c r="AB62" s="34"/>
      <c r="AC62" s="2"/>
    </row>
    <row r="63" spans="1:29" x14ac:dyDescent="0.2">
      <c r="A63" s="99"/>
      <c r="B63" s="292" t="str">
        <f>Sheet1!B68</f>
        <v>Control</v>
      </c>
      <c r="C63" s="292" t="str">
        <f>Sheet1!C68</f>
        <v>Jo</v>
      </c>
      <c r="D63" s="293"/>
      <c r="E63" s="293"/>
      <c r="F63" s="293">
        <f>IF(F$45&lt;0,0,Sheet1!F68+SUMPRODUCT($F$45:$J$45,Sheet1!$F68:$J68))</f>
        <v>0</v>
      </c>
      <c r="G63" s="293">
        <f>IF(G$45&lt;0,0,Sheet1!G68+SUMPRODUCT($F$45:$J$45,Sheet1!$F68:$J68))</f>
        <v>0</v>
      </c>
      <c r="H63" s="293">
        <f>IF(H$45&lt;0,0,Sheet1!H68+SUMPRODUCT($F$45:$J$45,Sheet1!$F68:$J68))</f>
        <v>8.3000000000000114</v>
      </c>
      <c r="I63" s="293">
        <f>IF(I$45&lt;0,0,Sheet1!I68+SUMPRODUCT($F$45:$J$45,Sheet1!$F68:$J68))</f>
        <v>10.599999999999966</v>
      </c>
      <c r="J63" s="293">
        <f>IF(J$45&lt;0,0,Sheet1!J68+SUMPRODUCT($F$45:$J$45,Sheet1!$F68:$J68))</f>
        <v>-7</v>
      </c>
      <c r="K63" s="317" t="str">
        <f>IF(SUMIFS($F$43:$J$43,Sheet1!F68:J68,"",$F$45:$J$45,"&lt;0")&gt;0,IF(OR(SUMIFS($F$42:$J$42,F63:J63,"")=SUM($F$42:$J$42),SUMIFS($F$42:$J$42,F63:J63,"")=SUMIFS($F$42:$J$42,$F$45:$J$45,"=0")),"","Clear all deltas"),IF(SUMIFS($F$43:$J$43,Sheet1!F68:J68,"",$F$45:$J$45,"=0")-SUMIFS($F$43:$J$43,F63:J63,"",$F$45:$J$45,"=0")&gt;0,"Clear deltas with missing values",""))</f>
        <v/>
      </c>
      <c r="L63" s="310"/>
      <c r="M63" s="37"/>
      <c r="N63" s="99"/>
      <c r="O63" s="292" t="str">
        <f t="shared" si="32"/>
        <v>Control</v>
      </c>
      <c r="P63" s="292" t="str">
        <f t="shared" si="33"/>
        <v>Jo</v>
      </c>
      <c r="Q63" s="293"/>
      <c r="R63" s="296"/>
      <c r="S63" s="297">
        <f>IF(S$45&lt;0,0,Sheet1!W68+SUMPRODUCT($F$45:$J$45,Sheet1!$W68:$AA68))</f>
        <v>0</v>
      </c>
      <c r="T63" s="297">
        <f>IF(T$45&lt;0,0,Sheet1!X68+SUMPRODUCT($F$45:$J$45,Sheet1!$W68:$AA68))</f>
        <v>0</v>
      </c>
      <c r="U63" s="297">
        <f>IF(U$45&lt;0,0,Sheet1!Y68+SUMPRODUCT($F$45:$J$45,Sheet1!$W68:$AA68))</f>
        <v>2.0482253740547094</v>
      </c>
      <c r="V63" s="297">
        <f>IF(V$45&lt;0,0,Sheet1!Z68+SUMPRODUCT($F$45:$J$45,Sheet1!$W68:$AA68))</f>
        <v>2.6034470779840149</v>
      </c>
      <c r="W63" s="297">
        <f>IF(W$45&lt;0,0,Sheet1!AA68+SUMPRODUCT($F$45:$J$45,Sheet1!$W68:$AA68))</f>
        <v>-1.7258074242299699</v>
      </c>
      <c r="X63" s="317" t="str">
        <f>IF(ISERROR(SUM(S63:W63)),"Clear #NUM! in Sheet1",IF(SUMIFS($S$43:$W$43,Sheet1!W68:AA68,"",$S$45:$W$45,"&lt;0")&gt;0,IF(OR(SUMIFS($S$42:$W$42,S63:W63,"")=SUM($S$42:$W$42),SUMIFS($S$42:$W$42,S63:W63,"")=SUMIFS($S$42:$W$42,$S$45:$W$45,"=0")),"","Clear all deltas"),IF(SUMIFS($S$43:$W$43,Sheet1!W68:AA68,"",$S$45:$W$45,"=0")-SUMIFS($S$43:$W$43,S63:W63,"",$S$45:$W$45,"=0")&gt;0,"Clear deltas with missing values","")))</f>
        <v/>
      </c>
      <c r="Y63" s="315"/>
      <c r="Z63" s="19"/>
      <c r="AA63" s="48"/>
      <c r="AB63" s="34"/>
      <c r="AC63" s="2"/>
    </row>
    <row r="64" spans="1:29" x14ac:dyDescent="0.2">
      <c r="A64" s="99"/>
      <c r="B64" s="292" t="str">
        <f>Sheet1!B69</f>
        <v>Control</v>
      </c>
      <c r="C64" s="292" t="str">
        <f>Sheet1!C69</f>
        <v xml:space="preserve">Jody </v>
      </c>
      <c r="D64" s="293"/>
      <c r="E64" s="293"/>
      <c r="F64" s="293">
        <f>IF(F$45&lt;0,0,Sheet1!F69+SUMPRODUCT($F$45:$J$45,Sheet1!$F69:$J69))</f>
        <v>0</v>
      </c>
      <c r="G64" s="293">
        <f>IF(G$45&lt;0,0,Sheet1!G69+SUMPRODUCT($F$45:$J$45,Sheet1!$F69:$J69))</f>
        <v>0</v>
      </c>
      <c r="H64" s="293">
        <f>IF(H$45&lt;0,0,Sheet1!H69+SUMPRODUCT($F$45:$J$45,Sheet1!$F69:$J69))</f>
        <v>4.1000000000000227</v>
      </c>
      <c r="I64" s="293">
        <f>IF(I$45&lt;0,0,Sheet1!I69+SUMPRODUCT($F$45:$J$45,Sheet1!$F69:$J69))</f>
        <v>4.6000000000000227</v>
      </c>
      <c r="J64" s="293">
        <f>IF(J$45&lt;0,0,Sheet1!J69+SUMPRODUCT($F$45:$J$45,Sheet1!$F69:$J69))</f>
        <v>5.6000000000000227</v>
      </c>
      <c r="K64" s="317" t="str">
        <f>IF(SUMIFS($F$43:$J$43,Sheet1!F69:J69,"",$F$45:$J$45,"&lt;0")&gt;0,IF(OR(SUMIFS($F$42:$J$42,F64:J64,"")=SUM($F$42:$J$42),SUMIFS($F$42:$J$42,F64:J64,"")=SUMIFS($F$42:$J$42,$F$45:$J$45,"=0")),"","Clear all deltas"),IF(SUMIFS($F$43:$J$43,Sheet1!F69:J69,"",$F$45:$J$45,"=0")-SUMIFS($F$43:$J$43,F64:J64,"",$F$45:$J$45,"=0")&gt;0,"Clear deltas with missing values",""))</f>
        <v/>
      </c>
      <c r="L64" s="311"/>
      <c r="M64" s="37"/>
      <c r="N64" s="99"/>
      <c r="O64" s="292" t="str">
        <f t="shared" si="32"/>
        <v>Control</v>
      </c>
      <c r="P64" s="292" t="str">
        <f t="shared" si="33"/>
        <v xml:space="preserve">Jody </v>
      </c>
      <c r="Q64" s="293"/>
      <c r="R64" s="296"/>
      <c r="S64" s="297">
        <f>IF(S$45&lt;0,0,Sheet1!W69+SUMPRODUCT($F$45:$J$45,Sheet1!$W69:$AA69))</f>
        <v>0</v>
      </c>
      <c r="T64" s="297">
        <f>IF(T$45&lt;0,0,Sheet1!X69+SUMPRODUCT($F$45:$J$45,Sheet1!$W69:$AA69))</f>
        <v>0</v>
      </c>
      <c r="U64" s="297">
        <f>IF(U$45&lt;0,0,Sheet1!Y69+SUMPRODUCT($F$45:$J$45,Sheet1!$W69:$AA69))</f>
        <v>1.0426326187756558</v>
      </c>
      <c r="V64" s="297">
        <f>IF(V$45&lt;0,0,Sheet1!Z69+SUMPRODUCT($F$45:$J$45,Sheet1!$W69:$AA69))</f>
        <v>1.1690389053583203</v>
      </c>
      <c r="W64" s="297">
        <f>IF(W$45&lt;0,0,Sheet1!AA69+SUMPRODUCT($F$45:$J$45,Sheet1!$W69:$AA69))</f>
        <v>1.4213731295835714</v>
      </c>
      <c r="X64" s="317" t="str">
        <f>IF(ISERROR(SUM(S64:W64)),"Clear #NUM! in Sheet1",IF(SUMIFS($S$43:$W$43,Sheet1!W69:AA69,"",$S$45:$W$45,"&lt;0")&gt;0,IF(OR(SUMIFS($S$42:$W$42,S64:W64,"")=SUM($S$42:$W$42),SUMIFS($S$42:$W$42,S64:W64,"")=SUMIFS($S$42:$W$42,$S$45:$W$45,"=0")),"","Clear all deltas"),IF(SUMIFS($S$43:$W$43,Sheet1!W69:AA69,"",$S$45:$W$45,"=0")-SUMIFS($S$43:$W$43,S64:W64,"",$S$45:$W$45,"=0")&gt;0,"Clear deltas with missing values","")))</f>
        <v/>
      </c>
      <c r="Y64" s="315"/>
      <c r="Z64" s="19"/>
      <c r="AA64" s="48"/>
      <c r="AB64" s="34"/>
      <c r="AC64" s="2"/>
    </row>
    <row r="65" spans="1:29" x14ac:dyDescent="0.2">
      <c r="A65" s="99"/>
      <c r="B65" s="292" t="str">
        <f>Sheet1!B70</f>
        <v>Control</v>
      </c>
      <c r="C65" s="292" t="str">
        <f>Sheet1!C70</f>
        <v>Jordan</v>
      </c>
      <c r="D65" s="293"/>
      <c r="E65" s="293"/>
      <c r="F65" s="293">
        <f>IF(F$45&lt;0,0,Sheet1!F70+SUMPRODUCT($F$45:$J$45,Sheet1!$F70:$J70))</f>
        <v>0</v>
      </c>
      <c r="G65" s="293">
        <f>IF(G$45&lt;0,0,Sheet1!G70+SUMPRODUCT($F$45:$J$45,Sheet1!$F70:$J70))</f>
        <v>0</v>
      </c>
      <c r="H65" s="293">
        <f>IF(H$45&lt;0,0,Sheet1!H70+SUMPRODUCT($F$45:$J$45,Sheet1!$F70:$J70))</f>
        <v>1</v>
      </c>
      <c r="I65" s="293">
        <f>IF(I$45&lt;0,0,Sheet1!I70+SUMPRODUCT($F$45:$J$45,Sheet1!$F70:$J70))</f>
        <v>0.89999999999997726</v>
      </c>
      <c r="J65" s="293">
        <f>IF(J$45&lt;0,0,Sheet1!J70+SUMPRODUCT($F$45:$J$45,Sheet1!$F70:$J70))</f>
        <v>8.6999999999999886</v>
      </c>
      <c r="K65" s="317" t="str">
        <f>IF(SUMIFS($F$43:$J$43,Sheet1!F70:J70,"",$F$45:$J$45,"&lt;0")&gt;0,IF(OR(SUMIFS($F$42:$J$42,F65:J65,"")=SUM($F$42:$J$42),SUMIFS($F$42:$J$42,F65:J65,"")=SUMIFS($F$42:$J$42,$F$45:$J$45,"=0")),"","Clear all deltas"),IF(SUMIFS($F$43:$J$43,Sheet1!F70:J70,"",$F$45:$J$45,"=0")-SUMIFS($F$43:$J$43,F65:J65,"",$F$45:$J$45,"=0")&gt;0,"Clear deltas with missing values",""))</f>
        <v/>
      </c>
      <c r="L65" s="310"/>
      <c r="M65" s="37"/>
      <c r="N65" s="99"/>
      <c r="O65" s="292" t="str">
        <f t="shared" si="32"/>
        <v>Control</v>
      </c>
      <c r="P65" s="292" t="str">
        <f t="shared" si="33"/>
        <v>Jordan</v>
      </c>
      <c r="Q65" s="293"/>
      <c r="R65" s="296"/>
      <c r="S65" s="297">
        <f>IF(S$45&lt;0,0,Sheet1!W70+SUMPRODUCT($F$45:$J$45,Sheet1!$W70:$AA70))</f>
        <v>0</v>
      </c>
      <c r="T65" s="297">
        <f>IF(T$45&lt;0,0,Sheet1!X70+SUMPRODUCT($F$45:$J$45,Sheet1!$W70:$AA70))</f>
        <v>0</v>
      </c>
      <c r="U65" s="297">
        <f>IF(U$45&lt;0,0,Sheet1!Y70+SUMPRODUCT($F$45:$J$45,Sheet1!$W70:$AA70))</f>
        <v>0.2522695352631672</v>
      </c>
      <c r="V65" s="297">
        <f>IF(V$45&lt;0,0,Sheet1!Z70+SUMPRODUCT($F$45:$J$45,Sheet1!$W70:$AA70))</f>
        <v>0.22721001878073821</v>
      </c>
      <c r="W65" s="297">
        <f>IF(W$45&lt;0,0,Sheet1!AA70+SUMPRODUCT($F$45:$J$45,Sheet1!$W70:$AA70))</f>
        <v>2.1632347472348101</v>
      </c>
      <c r="X65" s="317" t="str">
        <f>IF(ISERROR(SUM(S65:W65)),"Clear #NUM! in Sheet1",IF(SUMIFS($S$43:$W$43,Sheet1!W70:AA70,"",$S$45:$W$45,"&lt;0")&gt;0,IF(OR(SUMIFS($S$42:$W$42,S65:W65,"")=SUM($S$42:$W$42),SUMIFS($S$42:$W$42,S65:W65,"")=SUMIFS($S$42:$W$42,$S$45:$W$45,"=0")),"","Clear all deltas"),IF(SUMIFS($S$43:$W$43,Sheet1!W70:AA70,"",$S$45:$W$45,"=0")-SUMIFS($S$43:$W$43,S65:W65,"",$S$45:$W$45,"=0")&gt;0,"Clear deltas with missing values","")))</f>
        <v/>
      </c>
      <c r="Y65" s="315"/>
      <c r="Z65" s="19"/>
      <c r="AA65" s="48"/>
      <c r="AB65" s="34"/>
      <c r="AC65" s="2"/>
    </row>
    <row r="66" spans="1:29" x14ac:dyDescent="0.2">
      <c r="A66" s="99"/>
      <c r="B66" s="292" t="str">
        <f>Sheet1!B71</f>
        <v>Control</v>
      </c>
      <c r="C66" s="292" t="str">
        <f>Sheet1!C71</f>
        <v>Kelly</v>
      </c>
      <c r="D66" s="293"/>
      <c r="E66" s="293"/>
      <c r="F66" s="293">
        <f>IF(F$45&lt;0,0,Sheet1!F71+SUMPRODUCT($F$45:$J$45,Sheet1!$F71:$J71))</f>
        <v>0</v>
      </c>
      <c r="G66" s="293">
        <f>IF(G$45&lt;0,0,Sheet1!G71+SUMPRODUCT($F$45:$J$45,Sheet1!$F71:$J71))</f>
        <v>0</v>
      </c>
      <c r="H66" s="293">
        <f>IF(H$45&lt;0,0,Sheet1!H71+SUMPRODUCT($F$45:$J$45,Sheet1!$F71:$J71))</f>
        <v>4.7999999999999545</v>
      </c>
      <c r="I66" s="293">
        <f>IF(I$45&lt;0,0,Sheet1!I71+SUMPRODUCT($F$45:$J$45,Sheet1!$F71:$J71))</f>
        <v>8.8999999999999773</v>
      </c>
      <c r="J66" s="293">
        <f>IF(J$45&lt;0,0,Sheet1!J71+SUMPRODUCT($F$45:$J$45,Sheet1!$F71:$J71))</f>
        <v>-4.7000000000000455</v>
      </c>
      <c r="K66" s="317" t="str">
        <f>IF(SUMIFS($F$43:$J$43,Sheet1!F71:J71,"",$F$45:$J$45,"&lt;0")&gt;0,IF(OR(SUMIFS($F$42:$J$42,F66:J66,"")=SUM($F$42:$J$42),SUMIFS($F$42:$J$42,F66:J66,"")=SUMIFS($F$42:$J$42,$F$45:$J$45,"=0")),"","Clear all deltas"),IF(SUMIFS($F$43:$J$43,Sheet1!F71:J71,"",$F$45:$J$45,"=0")-SUMIFS($F$43:$J$43,F66:J66,"",$F$45:$J$45,"=0")&gt;0,"Clear deltas with missing values",""))</f>
        <v/>
      </c>
      <c r="L66" s="310"/>
      <c r="M66" s="37"/>
      <c r="N66" s="99"/>
      <c r="O66" s="292" t="str">
        <f t="shared" si="32"/>
        <v>Control</v>
      </c>
      <c r="P66" s="292" t="str">
        <f t="shared" si="33"/>
        <v>Kelly</v>
      </c>
      <c r="Q66" s="293"/>
      <c r="R66" s="296"/>
      <c r="S66" s="297">
        <f>IF(S$45&lt;0,0,Sheet1!W71+SUMPRODUCT($F$45:$J$45,Sheet1!$W71:$AA71))</f>
        <v>0</v>
      </c>
      <c r="T66" s="297">
        <f>IF(T$45&lt;0,0,Sheet1!X71+SUMPRODUCT($F$45:$J$45,Sheet1!$W71:$AA71))</f>
        <v>0</v>
      </c>
      <c r="U66" s="297">
        <f>IF(U$45&lt;0,0,Sheet1!Y71+SUMPRODUCT($F$45:$J$45,Sheet1!$W71:$AA71))</f>
        <v>1.1844553312920425</v>
      </c>
      <c r="V66" s="297">
        <f>IF(V$45&lt;0,0,Sheet1!Z71+SUMPRODUCT($F$45:$J$45,Sheet1!$W71:$AA71))</f>
        <v>2.1725342219676804</v>
      </c>
      <c r="W66" s="297">
        <f>IF(W$45&lt;0,0,Sheet1!AA71+SUMPRODUCT($F$45:$J$45,Sheet1!$W71:$AA71))</f>
        <v>-1.1432254059013758</v>
      </c>
      <c r="X66" s="317" t="str">
        <f>IF(ISERROR(SUM(S66:W66)),"Clear #NUM! in Sheet1",IF(SUMIFS($S$43:$W$43,Sheet1!W71:AA71,"",$S$45:$W$45,"&lt;0")&gt;0,IF(OR(SUMIFS($S$42:$W$42,S66:W66,"")=SUM($S$42:$W$42),SUMIFS($S$42:$W$42,S66:W66,"")=SUMIFS($S$42:$W$42,$S$45:$W$45,"=0")),"","Clear all deltas"),IF(SUMIFS($S$43:$W$43,Sheet1!W71:AA71,"",$S$45:$W$45,"=0")-SUMIFS($S$43:$W$43,S66:W66,"",$S$45:$W$45,"=0")&gt;0,"Clear deltas with missing values","")))</f>
        <v/>
      </c>
      <c r="Y66" s="316"/>
      <c r="Z66" s="19"/>
      <c r="AA66" s="48"/>
      <c r="AB66" s="34"/>
      <c r="AC66" s="2"/>
    </row>
    <row r="67" spans="1:29" x14ac:dyDescent="0.2">
      <c r="A67" s="99"/>
      <c r="B67" s="102"/>
      <c r="C67" s="102" t="s">
        <v>1</v>
      </c>
      <c r="D67" s="294"/>
      <c r="E67" s="103"/>
      <c r="F67" s="83">
        <f t="shared" ref="F67:J67" si="34">AVERAGE(F47:F66)</f>
        <v>0</v>
      </c>
      <c r="G67" s="83">
        <f t="shared" ref="G67:I67" si="35">AVERAGE(G47:G66)</f>
        <v>0</v>
      </c>
      <c r="H67" s="83">
        <f t="shared" si="35"/>
        <v>2.2150000000000034</v>
      </c>
      <c r="I67" s="83">
        <f t="shared" si="35"/>
        <v>-1.6900000000000006</v>
      </c>
      <c r="J67" s="83">
        <f t="shared" si="34"/>
        <v>-1.7599999999999938</v>
      </c>
      <c r="K67" s="303"/>
      <c r="L67" s="17"/>
      <c r="M67" s="37"/>
      <c r="N67" s="99"/>
      <c r="O67" s="102"/>
      <c r="P67" s="102"/>
      <c r="Q67" s="298"/>
      <c r="R67" s="300" t="s">
        <v>1</v>
      </c>
      <c r="S67" s="286">
        <f t="shared" ref="S67:W67" si="36">AVERAGE(S47:S66)</f>
        <v>0</v>
      </c>
      <c r="T67" s="286">
        <f t="shared" ref="T67:V67" si="37">AVERAGE(T47:T66)</f>
        <v>0</v>
      </c>
      <c r="U67" s="286">
        <f t="shared" si="37"/>
        <v>0.55200477919528912</v>
      </c>
      <c r="V67" s="286">
        <f t="shared" si="37"/>
        <v>-0.42818508287602414</v>
      </c>
      <c r="W67" s="286">
        <f t="shared" si="36"/>
        <v>-0.43809372261697488</v>
      </c>
      <c r="X67" s="19"/>
      <c r="Y67" s="19"/>
      <c r="Z67" s="19"/>
      <c r="AA67" s="107"/>
      <c r="AB67" s="34"/>
      <c r="AC67" s="2"/>
    </row>
    <row r="68" spans="1:29" x14ac:dyDescent="0.2">
      <c r="A68" s="99"/>
      <c r="B68" s="108"/>
      <c r="C68" s="108" t="s">
        <v>2</v>
      </c>
      <c r="D68" s="295"/>
      <c r="E68" s="111"/>
      <c r="F68" s="86">
        <f t="shared" ref="F68:J68" si="38">STDEV(F47:F66)</f>
        <v>0</v>
      </c>
      <c r="G68" s="86">
        <f t="shared" ref="G68:I68" si="39">STDEV(G47:G66)</f>
        <v>0</v>
      </c>
      <c r="H68" s="86">
        <f t="shared" si="39"/>
        <v>5.4677066297922083</v>
      </c>
      <c r="I68" s="86">
        <f t="shared" si="39"/>
        <v>7.3792489990156529</v>
      </c>
      <c r="J68" s="86">
        <f t="shared" si="38"/>
        <v>6.0228643299382121</v>
      </c>
      <c r="K68" s="303"/>
      <c r="L68" s="17"/>
      <c r="M68" s="37"/>
      <c r="N68" s="99"/>
      <c r="O68" s="108"/>
      <c r="P68" s="108"/>
      <c r="Q68" s="119"/>
      <c r="R68" s="25" t="s">
        <v>2</v>
      </c>
      <c r="S68" s="287">
        <f t="shared" ref="S68:W68" si="40">STDEV(S47:S66)</f>
        <v>0</v>
      </c>
      <c r="T68" s="287">
        <f t="shared" ref="T68:V68" si="41">STDEV(T47:T66)</f>
        <v>0</v>
      </c>
      <c r="U68" s="287">
        <f t="shared" si="41"/>
        <v>1.3562103605532199</v>
      </c>
      <c r="V68" s="287">
        <f t="shared" si="41"/>
        <v>1.8482763949424479</v>
      </c>
      <c r="W68" s="287">
        <f t="shared" si="40"/>
        <v>1.5031039919065274</v>
      </c>
      <c r="X68" s="19"/>
      <c r="Y68" s="19"/>
      <c r="Z68" s="19"/>
      <c r="AA68" s="107"/>
      <c r="AB68" s="34"/>
      <c r="AC68" s="2"/>
    </row>
    <row r="69" spans="1:29" x14ac:dyDescent="0.2">
      <c r="A69" s="99"/>
      <c r="B69" s="108"/>
      <c r="C69" s="108" t="s">
        <v>28</v>
      </c>
      <c r="D69" s="108"/>
      <c r="E69" s="109"/>
      <c r="F69" s="88">
        <f t="shared" ref="F69:J69" si="42">COUNT(F47:F66)</f>
        <v>20</v>
      </c>
      <c r="G69" s="88">
        <f t="shared" si="42"/>
        <v>20</v>
      </c>
      <c r="H69" s="88">
        <f t="shared" si="42"/>
        <v>20</v>
      </c>
      <c r="I69" s="88">
        <f t="shared" si="42"/>
        <v>20</v>
      </c>
      <c r="J69" s="88">
        <f t="shared" si="42"/>
        <v>20</v>
      </c>
      <c r="K69" s="17"/>
      <c r="L69" s="17"/>
      <c r="M69" s="37"/>
      <c r="N69" s="99"/>
      <c r="O69" s="108"/>
      <c r="P69" s="108"/>
      <c r="Q69" s="299"/>
      <c r="R69" s="25" t="s">
        <v>28</v>
      </c>
      <c r="S69" s="88">
        <f t="shared" ref="S69:W69" si="43">COUNT(S47:S66)</f>
        <v>20</v>
      </c>
      <c r="T69" s="88">
        <f t="shared" si="43"/>
        <v>20</v>
      </c>
      <c r="U69" s="88">
        <f t="shared" si="43"/>
        <v>20</v>
      </c>
      <c r="V69" s="88">
        <f t="shared" si="43"/>
        <v>20</v>
      </c>
      <c r="W69" s="88">
        <f t="shared" si="43"/>
        <v>20</v>
      </c>
      <c r="X69" s="19"/>
      <c r="Y69" s="19"/>
      <c r="Z69" s="19"/>
      <c r="AA69" s="107"/>
      <c r="AB69" s="34"/>
      <c r="AC69" s="2"/>
    </row>
    <row r="70" spans="1:29" x14ac:dyDescent="0.2">
      <c r="A70" s="99"/>
      <c r="B70" s="108"/>
      <c r="C70" s="109"/>
      <c r="D70" s="109"/>
      <c r="E70" s="109"/>
      <c r="F70" s="17"/>
      <c r="G70" s="17"/>
      <c r="H70" s="17"/>
      <c r="I70" s="17"/>
      <c r="J70" s="17"/>
      <c r="K70" s="17"/>
      <c r="L70" s="17"/>
      <c r="M70" s="37"/>
      <c r="N70" s="99"/>
      <c r="O70" s="108"/>
      <c r="P70" s="108"/>
      <c r="Q70" s="304"/>
      <c r="R70" s="301" t="s">
        <v>160</v>
      </c>
      <c r="S70" s="89">
        <f>100*EXP(S67/100)-100</f>
        <v>0</v>
      </c>
      <c r="T70" s="89">
        <f t="shared" ref="T70:V70" si="44">100*EXP(T67/100)-100</f>
        <v>0</v>
      </c>
      <c r="U70" s="89">
        <f t="shared" si="44"/>
        <v>0.55353113279909394</v>
      </c>
      <c r="V70" s="89">
        <f t="shared" si="44"/>
        <v>-0.42726967755911005</v>
      </c>
      <c r="W70" s="89">
        <f t="shared" ref="W70" si="45">100*EXP(W67/100)-100</f>
        <v>-0.43713549189490664</v>
      </c>
      <c r="X70" s="101"/>
      <c r="Y70" s="19"/>
      <c r="Z70" s="19"/>
      <c r="AA70" s="107"/>
      <c r="AB70" s="34"/>
      <c r="AC70" s="2"/>
    </row>
    <row r="71" spans="1:29" ht="15" customHeight="1" x14ac:dyDescent="0.2">
      <c r="A71" s="99"/>
      <c r="B71" s="108"/>
      <c r="C71" s="19"/>
      <c r="D71" s="19"/>
      <c r="E71" s="19"/>
      <c r="F71" s="19"/>
      <c r="G71" s="17"/>
      <c r="H71" s="17"/>
      <c r="I71" s="17"/>
      <c r="J71" s="17"/>
      <c r="K71" s="17"/>
      <c r="L71" s="17"/>
      <c r="M71" s="37"/>
      <c r="N71" s="99"/>
      <c r="O71" s="108"/>
      <c r="P71" s="108"/>
      <c r="Q71" s="305"/>
      <c r="R71" s="302" t="s">
        <v>6</v>
      </c>
      <c r="S71" s="92">
        <f>100*EXP(S68/100)-100</f>
        <v>0</v>
      </c>
      <c r="T71" s="92">
        <f t="shared" ref="T71:W71" si="46">100*EXP(T68/100)-100</f>
        <v>0</v>
      </c>
      <c r="U71" s="92">
        <f t="shared" si="46"/>
        <v>1.3654486093836056</v>
      </c>
      <c r="V71" s="92">
        <f t="shared" si="46"/>
        <v>1.8654627435584956</v>
      </c>
      <c r="W71" s="92">
        <f t="shared" si="46"/>
        <v>1.514457413211062</v>
      </c>
      <c r="X71" s="101"/>
      <c r="Y71" s="19"/>
      <c r="Z71" s="19"/>
      <c r="AA71" s="107"/>
      <c r="AB71" s="34"/>
      <c r="AC71" s="2"/>
    </row>
    <row r="72" spans="1:29" x14ac:dyDescent="0.2">
      <c r="A72" s="99"/>
      <c r="B72" s="118"/>
      <c r="C72" s="19"/>
      <c r="D72" s="19"/>
      <c r="E72" s="19"/>
      <c r="F72" s="19"/>
      <c r="G72" s="17"/>
      <c r="H72" s="17"/>
      <c r="I72" s="17"/>
      <c r="J72" s="17"/>
      <c r="K72" s="17"/>
      <c r="L72" s="17"/>
      <c r="M72" s="37"/>
      <c r="N72" s="99"/>
      <c r="O72" s="108"/>
      <c r="P72" s="108"/>
      <c r="Q72" s="306"/>
      <c r="R72" s="301" t="s">
        <v>161</v>
      </c>
      <c r="S72" s="83">
        <f t="shared" ref="S72:W73" si="47">EXP(S67/100)</f>
        <v>1</v>
      </c>
      <c r="T72" s="83">
        <f t="shared" ref="T72:V72" si="48">EXP(T67/100)</f>
        <v>1</v>
      </c>
      <c r="U72" s="83">
        <f t="shared" si="48"/>
        <v>1.005535311327991</v>
      </c>
      <c r="V72" s="83">
        <f t="shared" si="48"/>
        <v>0.99572730322440894</v>
      </c>
      <c r="W72" s="83">
        <f t="shared" si="47"/>
        <v>0.99562864508105087</v>
      </c>
      <c r="X72" s="101"/>
      <c r="Y72" s="19"/>
      <c r="Z72" s="19"/>
      <c r="AA72" s="107"/>
      <c r="AB72" s="34"/>
      <c r="AC72" s="2"/>
    </row>
    <row r="73" spans="1:29" s="1" customFormat="1" x14ac:dyDescent="0.2">
      <c r="A73" s="99"/>
      <c r="B73" s="17"/>
      <c r="C73" s="17"/>
      <c r="D73" s="17"/>
      <c r="E73" s="17"/>
      <c r="F73" s="17"/>
      <c r="G73" s="17"/>
      <c r="H73" s="17"/>
      <c r="I73" s="17"/>
      <c r="J73" s="17"/>
      <c r="K73" s="51"/>
      <c r="L73" s="121"/>
      <c r="M73" s="37"/>
      <c r="N73" s="99"/>
      <c r="O73" s="108"/>
      <c r="P73" s="108"/>
      <c r="Q73" s="305"/>
      <c r="R73" s="302" t="s">
        <v>7</v>
      </c>
      <c r="S73" s="86">
        <f t="shared" si="47"/>
        <v>1</v>
      </c>
      <c r="T73" s="86">
        <f t="shared" ref="T73:V73" si="49">EXP(T68/100)</f>
        <v>1</v>
      </c>
      <c r="U73" s="86">
        <f t="shared" si="49"/>
        <v>1.0136544860938361</v>
      </c>
      <c r="V73" s="86">
        <f t="shared" si="49"/>
        <v>1.018654627435585</v>
      </c>
      <c r="W73" s="86">
        <f t="shared" si="47"/>
        <v>1.0151445741321106</v>
      </c>
      <c r="X73" s="101"/>
      <c r="Y73" s="121"/>
      <c r="Z73" s="19"/>
      <c r="AA73" s="107"/>
      <c r="AB73" s="34"/>
      <c r="AC73" s="13"/>
    </row>
    <row r="74" spans="1:29" s="1" customFormat="1" x14ac:dyDescent="0.2">
      <c r="A74" s="99"/>
      <c r="B74" s="17"/>
      <c r="C74" s="17"/>
      <c r="D74" s="17"/>
      <c r="E74" s="17"/>
      <c r="F74" s="17"/>
      <c r="G74" s="17"/>
      <c r="H74" s="17"/>
      <c r="I74" s="17"/>
      <c r="J74" s="17"/>
      <c r="K74" s="51"/>
      <c r="L74" s="121"/>
      <c r="M74" s="37"/>
      <c r="N74" s="99"/>
      <c r="O74" s="108"/>
      <c r="P74" s="108"/>
      <c r="Q74" s="111"/>
      <c r="R74" s="111"/>
      <c r="S74" s="111"/>
      <c r="T74" s="111"/>
      <c r="U74" s="111"/>
      <c r="V74" s="111"/>
      <c r="W74" s="111"/>
      <c r="X74" s="111"/>
      <c r="Y74" s="111"/>
      <c r="Z74" s="19"/>
      <c r="AA74" s="107"/>
      <c r="AB74" s="34"/>
      <c r="AC74" s="13"/>
    </row>
    <row r="75" spans="1:29" ht="40.35" customHeight="1" x14ac:dyDescent="0.25">
      <c r="A75" s="100"/>
      <c r="B75" s="79" t="str">
        <f>Sheet1!B84</f>
        <v>Treatment</v>
      </c>
      <c r="C75" s="79" t="str">
        <f>Sheet1!C84</f>
        <v>Name</v>
      </c>
      <c r="D75" s="82" t="str">
        <f t="shared" ref="D75:J75" si="50">D46</f>
        <v>X1</v>
      </c>
      <c r="E75" s="82" t="str">
        <f t="shared" si="50"/>
        <v>X2</v>
      </c>
      <c r="F75" s="82" t="str">
        <f t="shared" si="50"/>
        <v>Pre1</v>
      </c>
      <c r="G75" s="82" t="str">
        <f t="shared" ref="G75:I75" si="51">G46</f>
        <v>Pre2</v>
      </c>
      <c r="H75" s="82" t="str">
        <f t="shared" si="51"/>
        <v>Post1</v>
      </c>
      <c r="I75" s="82" t="str">
        <f t="shared" si="51"/>
        <v>Post2</v>
      </c>
      <c r="J75" s="82" t="str">
        <f t="shared" si="50"/>
        <v>Post3</v>
      </c>
      <c r="K75" s="278"/>
      <c r="L75" s="278"/>
      <c r="M75" s="37"/>
      <c r="N75" s="100"/>
      <c r="O75" s="79" t="str">
        <f t="shared" ref="O75:W75" si="52">O46</f>
        <v>Treatment</v>
      </c>
      <c r="P75" s="79" t="str">
        <f t="shared" si="52"/>
        <v>Name</v>
      </c>
      <c r="Q75" s="82" t="str">
        <f t="shared" si="52"/>
        <v>X1</v>
      </c>
      <c r="R75" s="82" t="str">
        <f t="shared" si="52"/>
        <v>X2</v>
      </c>
      <c r="S75" s="82" t="str">
        <f t="shared" si="52"/>
        <v>Pre1</v>
      </c>
      <c r="T75" s="82" t="str">
        <f t="shared" ref="T75:V75" si="53">T46</f>
        <v>Pre2</v>
      </c>
      <c r="U75" s="82" t="str">
        <f t="shared" si="53"/>
        <v>Post1</v>
      </c>
      <c r="V75" s="82" t="str">
        <f t="shared" si="53"/>
        <v>Post2</v>
      </c>
      <c r="W75" s="82" t="str">
        <f t="shared" si="52"/>
        <v>Post3</v>
      </c>
      <c r="X75" s="278"/>
      <c r="Y75" s="278"/>
      <c r="Z75" s="19"/>
      <c r="AA75" s="19"/>
      <c r="AB75" s="19"/>
    </row>
    <row r="76" spans="1:29" x14ac:dyDescent="0.2">
      <c r="A76" s="100"/>
      <c r="B76" s="292" t="str">
        <f>Sheet1!B85</f>
        <v>Exptal</v>
      </c>
      <c r="C76" s="292" t="str">
        <f>Sheet1!C85</f>
        <v>Alex</v>
      </c>
      <c r="D76" s="293"/>
      <c r="E76" s="293"/>
      <c r="F76" s="293">
        <f>IF(F$45&lt;0,0,Sheet1!F85+SUMPRODUCT($F$45:$J$45,Sheet1!$F85:$J85))</f>
        <v>0</v>
      </c>
      <c r="G76" s="293">
        <f>IF(G$45&lt;0,0,Sheet1!G85+SUMPRODUCT($F$45:$J$45,Sheet1!$F85:$J85))</f>
        <v>0</v>
      </c>
      <c r="H76" s="293">
        <f>IF(H$45&lt;0,0,Sheet1!H85+SUMPRODUCT($F$45:$J$45,Sheet1!$F85:$J85))</f>
        <v>8.1000000000000227</v>
      </c>
      <c r="I76" s="293">
        <f>IF(I$45&lt;0,0,Sheet1!I85+SUMPRODUCT($F$45:$J$45,Sheet1!$F85:$J85))</f>
        <v>24.200000000000045</v>
      </c>
      <c r="J76" s="293">
        <f>IF(J$45&lt;0,0,Sheet1!J85+SUMPRODUCT($F$45:$J$45,Sheet1!$F85:$J85))</f>
        <v>9.4000000000000341</v>
      </c>
      <c r="K76" s="317" t="str">
        <f>IF(SUMIFS($F$43:$J$43,Sheet1!F85:J85,"",$F$45:$J$45,"&lt;0")&gt;0,IF(OR(SUMIFS($F$42:$J$42,F76:J76,"")=SUM($F$42:$J$42),SUMIFS($F$42:$J$42,F76:J76,"")=SUMIFS($F$42:$J$42,$F$45:$J$45,"=0")),"","Clear all deltas"),IF(SUMIFS($F$43:$J$43,Sheet1!F85:J85,"",$F$45:$J$45,"=0")-SUMIFS($F$43:$J$43,F76:J76,"",$F$45:$J$45,"=0")&gt;0,"Clear deltas with missing values",""))</f>
        <v/>
      </c>
      <c r="L76" s="310"/>
      <c r="M76" s="37"/>
      <c r="N76" s="100"/>
      <c r="O76" s="292" t="str">
        <f t="shared" ref="O76:O95" si="54">B76</f>
        <v>Exptal</v>
      </c>
      <c r="P76" s="292" t="str">
        <f t="shared" ref="P76:P95" si="55">C76</f>
        <v>Alex</v>
      </c>
      <c r="Q76" s="293"/>
      <c r="R76" s="296"/>
      <c r="S76" s="297">
        <f>IF(S$45&lt;0,0,Sheet1!W85+SUMPRODUCT($F$45:$J$45,Sheet1!$W85:$AA85))</f>
        <v>0</v>
      </c>
      <c r="T76" s="297">
        <f>IF(T$45&lt;0,0,Sheet1!X85+SUMPRODUCT($F$45:$J$45,Sheet1!$W85:$AA85))</f>
        <v>0</v>
      </c>
      <c r="U76" s="297">
        <f>IF(U$45&lt;0,0,Sheet1!Y85+SUMPRODUCT($F$45:$J$45,Sheet1!$W85:$AA85))</f>
        <v>2.0306045650513624</v>
      </c>
      <c r="V76" s="297">
        <f>IF(V$45&lt;0,0,Sheet1!Z85+SUMPRODUCT($F$45:$J$45,Sheet1!$W85:$AA85))</f>
        <v>5.9479038634857488</v>
      </c>
      <c r="W76" s="297">
        <f>IF(W$45&lt;0,0,Sheet1!AA85+SUMPRODUCT($F$45:$J$45,Sheet1!$W85:$AA85))</f>
        <v>2.3526660350556767</v>
      </c>
      <c r="X76" s="317" t="str">
        <f>IF(ISERROR(SUM(S76:W76)),"Clear #NUM! in Sheet1",IF(SUMIFS($S$43:$W$43,Sheet1!W85:AA85,"",$S$45:$W$45,"&lt;0")&gt;0,IF(OR(SUMIFS($S$42:$W$42,S76:W76,"")=SUM($S$42:$W$42),SUMIFS($S$42:$W$42,S76:W76,"")=SUMIFS($S$42:$W$42,$S$45:$W$45,"=0")),"","Clear all deltas"),IF(SUMIFS($S$43:$W$43,Sheet1!W85:AA85,"",$S$45:$W$45,"=0")-SUMIFS($S$43:$W$43,S76:W76,"",$S$45:$W$45,"=0")&gt;0,"Clear deltas with missing values","")))</f>
        <v/>
      </c>
      <c r="Y76" s="315"/>
      <c r="Z76" s="19"/>
      <c r="AA76" s="48"/>
      <c r="AB76" s="34"/>
      <c r="AC76" s="2"/>
    </row>
    <row r="77" spans="1:29" x14ac:dyDescent="0.2">
      <c r="A77" s="100"/>
      <c r="B77" s="292" t="str">
        <f>Sheet1!B86</f>
        <v>Exptal</v>
      </c>
      <c r="C77" s="292" t="str">
        <f>Sheet1!C86</f>
        <v>Ariel</v>
      </c>
      <c r="D77" s="293"/>
      <c r="E77" s="293"/>
      <c r="F77" s="293">
        <f>IF(F$45&lt;0,0,Sheet1!F86+SUMPRODUCT($F$45:$J$45,Sheet1!$F86:$J86))</f>
        <v>0</v>
      </c>
      <c r="G77" s="293">
        <f>IF(G$45&lt;0,0,Sheet1!G86+SUMPRODUCT($F$45:$J$45,Sheet1!$F86:$J86))</f>
        <v>0</v>
      </c>
      <c r="H77" s="293">
        <f>IF(H$45&lt;0,0,Sheet1!H86+SUMPRODUCT($F$45:$J$45,Sheet1!$F86:$J86))</f>
        <v>24.25</v>
      </c>
      <c r="I77" s="293">
        <f>IF(I$45&lt;0,0,Sheet1!I86+SUMPRODUCT($F$45:$J$45,Sheet1!$F86:$J86))</f>
        <v>4.9999999999954525E-2</v>
      </c>
      <c r="J77" s="293">
        <f>IF(J$45&lt;0,0,Sheet1!J86+SUMPRODUCT($F$45:$J$45,Sheet1!$F86:$J86))</f>
        <v>15.75</v>
      </c>
      <c r="K77" s="317" t="str">
        <f>IF(SUMIFS($F$43:$J$43,Sheet1!F86:J86,"",$F$45:$J$45,"&lt;0")&gt;0,IF(OR(SUMIFS($F$42:$J$42,F77:J77,"")=SUM($F$42:$J$42),SUMIFS($F$42:$J$42,F77:J77,"")=SUMIFS($F$42:$J$42,$F$45:$J$45,"=0")),"","Clear all deltas"),IF(SUMIFS($F$43:$J$43,Sheet1!F86:J86,"",$F$45:$J$45,"=0")-SUMIFS($F$43:$J$43,F77:J77,"",$F$45:$J$45,"=0")&gt;0,"Clear deltas with missing values",""))</f>
        <v/>
      </c>
      <c r="L77" s="310"/>
      <c r="M77" s="37"/>
      <c r="N77" s="100"/>
      <c r="O77" s="292" t="str">
        <f t="shared" si="54"/>
        <v>Exptal</v>
      </c>
      <c r="P77" s="292" t="str">
        <f t="shared" si="55"/>
        <v>Ariel</v>
      </c>
      <c r="Q77" s="293"/>
      <c r="R77" s="296"/>
      <c r="S77" s="297">
        <f>IF(S$45&lt;0,0,Sheet1!W86+SUMPRODUCT($F$45:$J$45,Sheet1!$W86:$AA86))</f>
        <v>0</v>
      </c>
      <c r="T77" s="297">
        <f>IF(T$45&lt;0,0,Sheet1!X86+SUMPRODUCT($F$45:$J$45,Sheet1!$W86:$AA86))</f>
        <v>0</v>
      </c>
      <c r="U77" s="297">
        <f>IF(U$45&lt;0,0,Sheet1!Y86+SUMPRODUCT($F$45:$J$45,Sheet1!$W86:$AA86))</f>
        <v>5.8173554526334783</v>
      </c>
      <c r="V77" s="297">
        <f>IF(V$45&lt;0,0,Sheet1!Z86+SUMPRODUCT($F$45:$J$45,Sheet1!$W86:$AA86))</f>
        <v>1.2368556697197164E-2</v>
      </c>
      <c r="W77" s="297">
        <f>IF(W$45&lt;0,0,Sheet1!AA86+SUMPRODUCT($F$45:$J$45,Sheet1!$W86:$AA86))</f>
        <v>3.8165825797456137</v>
      </c>
      <c r="X77" s="317" t="str">
        <f>IF(ISERROR(SUM(S77:W77)),"Clear #NUM! in Sheet1",IF(SUMIFS($S$43:$W$43,Sheet1!W86:AA86,"",$S$45:$W$45,"&lt;0")&gt;0,IF(OR(SUMIFS($S$42:$W$42,S77:W77,"")=SUM($S$42:$W$42),SUMIFS($S$42:$W$42,S77:W77,"")=SUMIFS($S$42:$W$42,$S$45:$W$45,"=0")),"","Clear all deltas"),IF(SUMIFS($S$43:$W$43,Sheet1!W86:AA86,"",$S$45:$W$45,"=0")-SUMIFS($S$43:$W$43,S77:W77,"",$S$45:$W$45,"=0")&gt;0,"Clear deltas with missing values","")))</f>
        <v/>
      </c>
      <c r="Y77" s="315"/>
      <c r="Z77" s="19"/>
      <c r="AA77" s="48"/>
      <c r="AB77" s="34"/>
      <c r="AC77" s="2"/>
    </row>
    <row r="78" spans="1:29" x14ac:dyDescent="0.2">
      <c r="A78" s="100"/>
      <c r="B78" s="292" t="str">
        <f>Sheet1!B87</f>
        <v>Exptal</v>
      </c>
      <c r="C78" s="292" t="str">
        <f>Sheet1!C87</f>
        <v>Ashley</v>
      </c>
      <c r="D78" s="293"/>
      <c r="E78" s="293"/>
      <c r="F78" s="293">
        <f>IF(F$45&lt;0,0,Sheet1!F87+SUMPRODUCT($F$45:$J$45,Sheet1!$F87:$J87))</f>
        <v>0</v>
      </c>
      <c r="G78" s="293">
        <f>IF(G$45&lt;0,0,Sheet1!G87+SUMPRODUCT($F$45:$J$45,Sheet1!$F87:$J87))</f>
        <v>0</v>
      </c>
      <c r="H78" s="293">
        <f>IF(H$45&lt;0,0,Sheet1!H87+SUMPRODUCT($F$45:$J$45,Sheet1!$F87:$J87))</f>
        <v>20</v>
      </c>
      <c r="I78" s="293">
        <f>IF(I$45&lt;0,0,Sheet1!I87+SUMPRODUCT($F$45:$J$45,Sheet1!$F87:$J87))</f>
        <v>16.800000000000011</v>
      </c>
      <c r="J78" s="293">
        <f>IF(J$45&lt;0,0,Sheet1!J87+SUMPRODUCT($F$45:$J$45,Sheet1!$F87:$J87))</f>
        <v>15.199999999999989</v>
      </c>
      <c r="K78" s="317" t="str">
        <f>IF(SUMIFS($F$43:$J$43,Sheet1!F87:J87,"",$F$45:$J$45,"&lt;0")&gt;0,IF(OR(SUMIFS($F$42:$J$42,F78:J78,"")=SUM($F$42:$J$42),SUMIFS($F$42:$J$42,F78:J78,"")=SUMIFS($F$42:$J$42,$F$45:$J$45,"=0")),"","Clear all deltas"),IF(SUMIFS($F$43:$J$43,Sheet1!F87:J87,"",$F$45:$J$45,"=0")-SUMIFS($F$43:$J$43,F78:J78,"",$F$45:$J$45,"=0")&gt;0,"Clear deltas with missing values",""))</f>
        <v/>
      </c>
      <c r="L78" s="310"/>
      <c r="M78" s="37"/>
      <c r="N78" s="100"/>
      <c r="O78" s="292" t="str">
        <f t="shared" si="54"/>
        <v>Exptal</v>
      </c>
      <c r="P78" s="292" t="str">
        <f t="shared" si="55"/>
        <v>Ashley</v>
      </c>
      <c r="Q78" s="293"/>
      <c r="R78" s="296"/>
      <c r="S78" s="297">
        <f>IF(S$45&lt;0,0,Sheet1!W87+SUMPRODUCT($F$45:$J$45,Sheet1!$W87:$AA87))</f>
        <v>0</v>
      </c>
      <c r="T78" s="297">
        <f>IF(T$45&lt;0,0,Sheet1!X87+SUMPRODUCT($F$45:$J$45,Sheet1!$W87:$AA87))</f>
        <v>0</v>
      </c>
      <c r="U78" s="297">
        <f>IF(U$45&lt;0,0,Sheet1!Y87+SUMPRODUCT($F$45:$J$45,Sheet1!$W87:$AA87))</f>
        <v>4.9286481343702917</v>
      </c>
      <c r="V78" s="297">
        <f>IF(V$45&lt;0,0,Sheet1!Z87+SUMPRODUCT($F$45:$J$45,Sheet1!$W87:$AA87))</f>
        <v>4.156443524979295</v>
      </c>
      <c r="W78" s="297">
        <f>IF(W$45&lt;0,0,Sheet1!AA87+SUMPRODUCT($F$45:$J$45,Sheet1!$W87:$AA87))</f>
        <v>3.7680935223395409</v>
      </c>
      <c r="X78" s="317" t="str">
        <f>IF(ISERROR(SUM(S78:W78)),"Clear #NUM! in Sheet1",IF(SUMIFS($S$43:$W$43,Sheet1!W87:AA87,"",$S$45:$W$45,"&lt;0")&gt;0,IF(OR(SUMIFS($S$42:$W$42,S78:W78,"")=SUM($S$42:$W$42),SUMIFS($S$42:$W$42,S78:W78,"")=SUMIFS($S$42:$W$42,$S$45:$W$45,"=0")),"","Clear all deltas"),IF(SUMIFS($S$43:$W$43,Sheet1!W87:AA87,"",$S$45:$W$45,"=0")-SUMIFS($S$43:$W$43,S78:W78,"",$S$45:$W$45,"=0")&gt;0,"Clear deltas with missing values","")))</f>
        <v/>
      </c>
      <c r="Y78" s="315"/>
      <c r="Z78" s="19"/>
      <c r="AA78" s="48"/>
      <c r="AB78" s="34"/>
      <c r="AC78" s="2"/>
    </row>
    <row r="79" spans="1:29" x14ac:dyDescent="0.2">
      <c r="A79" s="100"/>
      <c r="B79" s="292" t="str">
        <f>Sheet1!B88</f>
        <v>Exptal</v>
      </c>
      <c r="C79" s="292" t="str">
        <f>Sheet1!C88</f>
        <v>Bernie</v>
      </c>
      <c r="D79" s="293"/>
      <c r="E79" s="293"/>
      <c r="F79" s="293">
        <f>IF(F$45&lt;0,0,Sheet1!F88+SUMPRODUCT($F$45:$J$45,Sheet1!$F88:$J88))</f>
        <v>0</v>
      </c>
      <c r="G79" s="293">
        <f>IF(G$45&lt;0,0,Sheet1!G88+SUMPRODUCT($F$45:$J$45,Sheet1!$F88:$J88))</f>
        <v>0</v>
      </c>
      <c r="H79" s="293">
        <f>IF(H$45&lt;0,0,Sheet1!H88+SUMPRODUCT($F$45:$J$45,Sheet1!$F88:$J88))</f>
        <v>-4.5999999999999659</v>
      </c>
      <c r="I79" s="293">
        <f>IF(I$45&lt;0,0,Sheet1!I88+SUMPRODUCT($F$45:$J$45,Sheet1!$F88:$J88))</f>
        <v>-0.59999999999996589</v>
      </c>
      <c r="J79" s="293">
        <f>IF(J$45&lt;0,0,Sheet1!J88+SUMPRODUCT($F$45:$J$45,Sheet1!$F88:$J88))</f>
        <v>-23.799999999999955</v>
      </c>
      <c r="K79" s="317" t="str">
        <f>IF(SUMIFS($F$43:$J$43,Sheet1!F88:J88,"",$F$45:$J$45,"&lt;0")&gt;0,IF(OR(SUMIFS($F$42:$J$42,F79:J79,"")=SUM($F$42:$J$42),SUMIFS($F$42:$J$42,F79:J79,"")=SUMIFS($F$42:$J$42,$F$45:$J$45,"=0")),"","Clear all deltas"),IF(SUMIFS($F$43:$J$43,Sheet1!F88:J88,"",$F$45:$J$45,"=0")-SUMIFS($F$43:$J$43,F79:J79,"",$F$45:$J$45,"=0")&gt;0,"Clear deltas with missing values",""))</f>
        <v/>
      </c>
      <c r="L79" s="310"/>
      <c r="M79" s="37"/>
      <c r="N79" s="100"/>
      <c r="O79" s="292" t="str">
        <f t="shared" si="54"/>
        <v>Exptal</v>
      </c>
      <c r="P79" s="292" t="str">
        <f t="shared" si="55"/>
        <v>Bernie</v>
      </c>
      <c r="Q79" s="293"/>
      <c r="R79" s="296"/>
      <c r="S79" s="297">
        <f>IF(S$45&lt;0,0,Sheet1!W88+SUMPRODUCT($F$45:$J$45,Sheet1!$W88:$AA88))</f>
        <v>0</v>
      </c>
      <c r="T79" s="297">
        <f>IF(T$45&lt;0,0,Sheet1!X88+SUMPRODUCT($F$45:$J$45,Sheet1!$W88:$AA88))</f>
        <v>0</v>
      </c>
      <c r="U79" s="297">
        <f>IF(U$45&lt;0,0,Sheet1!Y88+SUMPRODUCT($F$45:$J$45,Sheet1!$W88:$AA88))</f>
        <v>-1.1448950370440798</v>
      </c>
      <c r="V79" s="297">
        <f>IF(V$45&lt;0,0,Sheet1!Z88+SUMPRODUCT($F$45:$J$45,Sheet1!$W88:$AA88))</f>
        <v>-0.14313359181232954</v>
      </c>
      <c r="W79" s="297">
        <f>IF(W$45&lt;0,0,Sheet1!AA88+SUMPRODUCT($F$45:$J$45,Sheet1!$W88:$AA88))</f>
        <v>-6.0981902294106476</v>
      </c>
      <c r="X79" s="317" t="str">
        <f>IF(ISERROR(SUM(S79:W79)),"Clear #NUM! in Sheet1",IF(SUMIFS($S$43:$W$43,Sheet1!W88:AA88,"",$S$45:$W$45,"&lt;0")&gt;0,IF(OR(SUMIFS($S$42:$W$42,S79:W79,"")=SUM($S$42:$W$42),SUMIFS($S$42:$W$42,S79:W79,"")=SUMIFS($S$42:$W$42,$S$45:$W$45,"=0")),"","Clear all deltas"),IF(SUMIFS($S$43:$W$43,Sheet1!W88:AA88,"",$S$45:$W$45,"=0")-SUMIFS($S$43:$W$43,S79:W79,"",$S$45:$W$45,"=0")&gt;0,"Clear deltas with missing values","")))</f>
        <v/>
      </c>
      <c r="Y79" s="315"/>
      <c r="Z79" s="19"/>
      <c r="AA79" s="48"/>
      <c r="AB79" s="34"/>
      <c r="AC79" s="2"/>
    </row>
    <row r="80" spans="1:29" x14ac:dyDescent="0.2">
      <c r="A80" s="100"/>
      <c r="B80" s="292" t="str">
        <f>Sheet1!B89</f>
        <v>Exptal</v>
      </c>
      <c r="C80" s="292" t="str">
        <f>Sheet1!C89</f>
        <v>Casey</v>
      </c>
      <c r="D80" s="293"/>
      <c r="E80" s="293"/>
      <c r="F80" s="293">
        <f>IF(F$45&lt;0,0,Sheet1!F89+SUMPRODUCT($F$45:$J$45,Sheet1!$F89:$J89))</f>
        <v>0</v>
      </c>
      <c r="G80" s="293">
        <f>IF(G$45&lt;0,0,Sheet1!G89+SUMPRODUCT($F$45:$J$45,Sheet1!$F89:$J89))</f>
        <v>0</v>
      </c>
      <c r="H80" s="293">
        <f>IF(H$45&lt;0,0,Sheet1!H89+SUMPRODUCT($F$45:$J$45,Sheet1!$F89:$J89))</f>
        <v>8.0000000000000568</v>
      </c>
      <c r="I80" s="293">
        <f>IF(I$45&lt;0,0,Sheet1!I89+SUMPRODUCT($F$45:$J$45,Sheet1!$F89:$J89))</f>
        <v>-10.799999999999955</v>
      </c>
      <c r="J80" s="293">
        <f>IF(J$45&lt;0,0,Sheet1!J89+SUMPRODUCT($F$45:$J$45,Sheet1!$F89:$J89))</f>
        <v>1.2000000000000455</v>
      </c>
      <c r="K80" s="317" t="str">
        <f>IF(SUMIFS($F$43:$J$43,Sheet1!F89:J89,"",$F$45:$J$45,"&lt;0")&gt;0,IF(OR(SUMIFS($F$42:$J$42,F80:J80,"")=SUM($F$42:$J$42),SUMIFS($F$42:$J$42,F80:J80,"")=SUMIFS($F$42:$J$42,$F$45:$J$45,"=0")),"","Clear all deltas"),IF(SUMIFS($F$43:$J$43,Sheet1!F89:J89,"",$F$45:$J$45,"=0")-SUMIFS($F$43:$J$43,F80:J80,"",$F$45:$J$45,"=0")&gt;0,"Clear deltas with missing values",""))</f>
        <v/>
      </c>
      <c r="L80" s="310"/>
      <c r="M80" s="37"/>
      <c r="N80" s="100"/>
      <c r="O80" s="292" t="str">
        <f t="shared" si="54"/>
        <v>Exptal</v>
      </c>
      <c r="P80" s="292" t="str">
        <f t="shared" si="55"/>
        <v>Casey</v>
      </c>
      <c r="Q80" s="293"/>
      <c r="R80" s="296"/>
      <c r="S80" s="297">
        <f>IF(S$45&lt;0,0,Sheet1!W89+SUMPRODUCT($F$45:$J$45,Sheet1!$W89:$AA89))</f>
        <v>0</v>
      </c>
      <c r="T80" s="297">
        <f>IF(T$45&lt;0,0,Sheet1!X89+SUMPRODUCT($F$45:$J$45,Sheet1!$W89:$AA89))</f>
        <v>0</v>
      </c>
      <c r="U80" s="297">
        <f>IF(U$45&lt;0,0,Sheet1!Y89+SUMPRODUCT($F$45:$J$45,Sheet1!$W89:$AA89))</f>
        <v>1.9557176139473995</v>
      </c>
      <c r="V80" s="297">
        <f>IF(V$45&lt;0,0,Sheet1!Z89+SUMPRODUCT($F$45:$J$45,Sheet1!$W89:$AA89))</f>
        <v>-2.6997405092282634</v>
      </c>
      <c r="W80" s="297">
        <f>IF(W$45&lt;0,0,Sheet1!AA89+SUMPRODUCT($F$45:$J$45,Sheet1!$W89:$AA89))</f>
        <v>0.29673836096537798</v>
      </c>
      <c r="X80" s="317" t="str">
        <f>IF(ISERROR(SUM(S80:W80)),"Clear #NUM! in Sheet1",IF(SUMIFS($S$43:$W$43,Sheet1!W89:AA89,"",$S$45:$W$45,"&lt;0")&gt;0,IF(OR(SUMIFS($S$42:$W$42,S80:W80,"")=SUM($S$42:$W$42),SUMIFS($S$42:$W$42,S80:W80,"")=SUMIFS($S$42:$W$42,$S$45:$W$45,"=0")),"","Clear all deltas"),IF(SUMIFS($S$43:$W$43,Sheet1!W89:AA89,"",$S$45:$W$45,"=0")-SUMIFS($S$43:$W$43,S80:W80,"",$S$45:$W$45,"=0")&gt;0,"Clear deltas with missing values","")))</f>
        <v/>
      </c>
      <c r="Y80" s="315"/>
      <c r="Z80" s="19"/>
      <c r="AA80" s="48"/>
      <c r="AB80" s="34"/>
      <c r="AC80" s="2"/>
    </row>
    <row r="81" spans="1:29" x14ac:dyDescent="0.2">
      <c r="A81" s="100"/>
      <c r="B81" s="292" t="str">
        <f>Sheet1!B90</f>
        <v>Exptal</v>
      </c>
      <c r="C81" s="292" t="str">
        <f>Sheet1!C90</f>
        <v>Chris</v>
      </c>
      <c r="D81" s="293"/>
      <c r="E81" s="293"/>
      <c r="F81" s="293">
        <f>IF(F$45&lt;0,0,Sheet1!F90+SUMPRODUCT($F$45:$J$45,Sheet1!$F90:$J90))</f>
        <v>0</v>
      </c>
      <c r="G81" s="293">
        <f>IF(G$45&lt;0,0,Sheet1!G90+SUMPRODUCT($F$45:$J$45,Sheet1!$F90:$J90))</f>
        <v>0</v>
      </c>
      <c r="H81" s="293">
        <f>IF(H$45&lt;0,0,Sheet1!H90+SUMPRODUCT($F$45:$J$45,Sheet1!$F90:$J90))</f>
        <v>20.699999999999989</v>
      </c>
      <c r="I81" s="293">
        <f>IF(I$45&lt;0,0,Sheet1!I90+SUMPRODUCT($F$45:$J$45,Sheet1!$F90:$J90))</f>
        <v>19.199999999999989</v>
      </c>
      <c r="J81" s="293">
        <f>IF(J$45&lt;0,0,Sheet1!J90+SUMPRODUCT($F$45:$J$45,Sheet1!$F90:$J90))</f>
        <v>10.699999999999989</v>
      </c>
      <c r="K81" s="317" t="str">
        <f>IF(SUMIFS($F$43:$J$43,Sheet1!F90:J90,"",$F$45:$J$45,"&lt;0")&gt;0,IF(OR(SUMIFS($F$42:$J$42,F81:J81,"")=SUM($F$42:$J$42),SUMIFS($F$42:$J$42,F81:J81,"")=SUMIFS($F$42:$J$42,$F$45:$J$45,"=0")),"","Clear all deltas"),IF(SUMIFS($F$43:$J$43,Sheet1!F90:J90,"",$F$45:$J$45,"=0")-SUMIFS($F$43:$J$43,F81:J81,"",$F$45:$J$45,"=0")&gt;0,"Clear deltas with missing values",""))</f>
        <v/>
      </c>
      <c r="L81" s="310"/>
      <c r="M81" s="37"/>
      <c r="N81" s="100"/>
      <c r="O81" s="292" t="str">
        <f t="shared" si="54"/>
        <v>Exptal</v>
      </c>
      <c r="P81" s="292" t="str">
        <f t="shared" si="55"/>
        <v>Chris</v>
      </c>
      <c r="Q81" s="293"/>
      <c r="R81" s="296"/>
      <c r="S81" s="297">
        <f>IF(S$45&lt;0,0,Sheet1!W90+SUMPRODUCT($F$45:$J$45,Sheet1!$W90:$AA90))</f>
        <v>0</v>
      </c>
      <c r="T81" s="297">
        <f>IF(T$45&lt;0,0,Sheet1!X90+SUMPRODUCT($F$45:$J$45,Sheet1!$W90:$AA90))</f>
        <v>0</v>
      </c>
      <c r="U81" s="297">
        <f>IF(U$45&lt;0,0,Sheet1!Y90+SUMPRODUCT($F$45:$J$45,Sheet1!$W90:$AA90))</f>
        <v>5.0462667429444537</v>
      </c>
      <c r="V81" s="297">
        <f>IF(V$45&lt;0,0,Sheet1!Z90+SUMPRODUCT($F$45:$J$45,Sheet1!$W90:$AA90))</f>
        <v>4.6891660182660644</v>
      </c>
      <c r="W81" s="297">
        <f>IF(W$45&lt;0,0,Sheet1!AA90+SUMPRODUCT($F$45:$J$45,Sheet1!$W90:$AA90))</f>
        <v>2.6411484060347448</v>
      </c>
      <c r="X81" s="317" t="str">
        <f>IF(ISERROR(SUM(S81:W81)),"Clear #NUM! in Sheet1",IF(SUMIFS($S$43:$W$43,Sheet1!W90:AA90,"",$S$45:$W$45,"&lt;0")&gt;0,IF(OR(SUMIFS($S$42:$W$42,S81:W81,"")=SUM($S$42:$W$42),SUMIFS($S$42:$W$42,S81:W81,"")=SUMIFS($S$42:$W$42,$S$45:$W$45,"=0")),"","Clear all deltas"),IF(SUMIFS($S$43:$W$43,Sheet1!W90:AA90,"",$S$45:$W$45,"=0")-SUMIFS($S$43:$W$43,S81:W81,"",$S$45:$W$45,"=0")&gt;0,"Clear deltas with missing values","")))</f>
        <v/>
      </c>
      <c r="Y81" s="315"/>
      <c r="Z81" s="19"/>
      <c r="AA81" s="48"/>
      <c r="AB81" s="34"/>
      <c r="AC81" s="2"/>
    </row>
    <row r="82" spans="1:29" x14ac:dyDescent="0.2">
      <c r="A82" s="100"/>
      <c r="B82" s="292" t="str">
        <f>Sheet1!B91</f>
        <v>Exptal</v>
      </c>
      <c r="C82" s="292" t="str">
        <f>Sheet1!C91</f>
        <v>Corey</v>
      </c>
      <c r="D82" s="293"/>
      <c r="E82" s="293"/>
      <c r="F82" s="293">
        <f>IF(F$45&lt;0,0,Sheet1!F91+SUMPRODUCT($F$45:$J$45,Sheet1!$F91:$J91))</f>
        <v>0</v>
      </c>
      <c r="G82" s="293">
        <f>IF(G$45&lt;0,0,Sheet1!G91+SUMPRODUCT($F$45:$J$45,Sheet1!$F91:$J91))</f>
        <v>0</v>
      </c>
      <c r="H82" s="293">
        <f>IF(H$45&lt;0,0,Sheet1!H91+SUMPRODUCT($F$45:$J$45,Sheet1!$F91:$J91))</f>
        <v>6.1000000000000227</v>
      </c>
      <c r="I82" s="293">
        <f>IF(I$45&lt;0,0,Sheet1!I91+SUMPRODUCT($F$45:$J$45,Sheet1!$F91:$J91))</f>
        <v>4.3000000000000114</v>
      </c>
      <c r="J82" s="293">
        <f>IF(J$45&lt;0,0,Sheet1!J91+SUMPRODUCT($F$45:$J$45,Sheet1!$F91:$J91))</f>
        <v>22.300000000000011</v>
      </c>
      <c r="K82" s="317" t="str">
        <f>IF(SUMIFS($F$43:$J$43,Sheet1!F91:J91,"",$F$45:$J$45,"&lt;0")&gt;0,IF(OR(SUMIFS($F$42:$J$42,F82:J82,"")=SUM($F$42:$J$42),SUMIFS($F$42:$J$42,F82:J82,"")=SUMIFS($F$42:$J$42,$F$45:$J$45,"=0")),"","Clear all deltas"),IF(SUMIFS($F$43:$J$43,Sheet1!F91:J91,"",$F$45:$J$45,"=0")-SUMIFS($F$43:$J$43,F82:J82,"",$F$45:$J$45,"=0")&gt;0,"Clear deltas with missing values",""))</f>
        <v/>
      </c>
      <c r="L82" s="310"/>
      <c r="M82" s="37"/>
      <c r="N82" s="100"/>
      <c r="O82" s="292" t="str">
        <f t="shared" si="54"/>
        <v>Exptal</v>
      </c>
      <c r="P82" s="292" t="str">
        <f t="shared" si="55"/>
        <v>Corey</v>
      </c>
      <c r="Q82" s="293"/>
      <c r="R82" s="296"/>
      <c r="S82" s="297">
        <f>IF(S$45&lt;0,0,Sheet1!W91+SUMPRODUCT($F$45:$J$45,Sheet1!$W91:$AA91))</f>
        <v>0</v>
      </c>
      <c r="T82" s="297">
        <f>IF(T$45&lt;0,0,Sheet1!X91+SUMPRODUCT($F$45:$J$45,Sheet1!$W91:$AA91))</f>
        <v>0</v>
      </c>
      <c r="U82" s="297">
        <f>IF(U$45&lt;0,0,Sheet1!Y91+SUMPRODUCT($F$45:$J$45,Sheet1!$W91:$AA91))</f>
        <v>1.5538975841537876</v>
      </c>
      <c r="V82" s="297">
        <f>IF(V$45&lt;0,0,Sheet1!Z91+SUMPRODUCT($F$45:$J$45,Sheet1!$W91:$AA91))</f>
        <v>1.1017491122692036</v>
      </c>
      <c r="W82" s="297">
        <f>IF(W$45&lt;0,0,Sheet1!AA91+SUMPRODUCT($F$45:$J$45,Sheet1!$W91:$AA91))</f>
        <v>5.5337890803352821</v>
      </c>
      <c r="X82" s="317" t="str">
        <f>IF(ISERROR(SUM(S82:W82)),"Clear #NUM! in Sheet1",IF(SUMIFS($S$43:$W$43,Sheet1!W91:AA91,"",$S$45:$W$45,"&lt;0")&gt;0,IF(OR(SUMIFS($S$42:$W$42,S82:W82,"")=SUM($S$42:$W$42),SUMIFS($S$42:$W$42,S82:W82,"")=SUMIFS($S$42:$W$42,$S$45:$W$45,"=0")),"","Clear all deltas"),IF(SUMIFS($S$43:$W$43,Sheet1!W91:AA91,"",$S$45:$W$45,"=0")-SUMIFS($S$43:$W$43,S82:W82,"",$S$45:$W$45,"=0")&gt;0,"Clear deltas with missing values","")))</f>
        <v/>
      </c>
      <c r="Y82" s="315"/>
      <c r="Z82" s="19"/>
      <c r="AA82" s="48"/>
      <c r="AB82" s="34"/>
      <c r="AC82" s="2"/>
    </row>
    <row r="83" spans="1:29" x14ac:dyDescent="0.2">
      <c r="A83" s="100"/>
      <c r="B83" s="292" t="str">
        <f>Sheet1!B92</f>
        <v>Exptal</v>
      </c>
      <c r="C83" s="292" t="str">
        <f>Sheet1!C92</f>
        <v>Courtney</v>
      </c>
      <c r="D83" s="293"/>
      <c r="E83" s="293"/>
      <c r="F83" s="293">
        <f>IF(F$45&lt;0,0,Sheet1!F92+SUMPRODUCT($F$45:$J$45,Sheet1!$F92:$J92))</f>
        <v>0</v>
      </c>
      <c r="G83" s="293">
        <f>IF(G$45&lt;0,0,Sheet1!G92+SUMPRODUCT($F$45:$J$45,Sheet1!$F92:$J92))</f>
        <v>0</v>
      </c>
      <c r="H83" s="293">
        <f>IF(H$45&lt;0,0,Sheet1!H92+SUMPRODUCT($F$45:$J$45,Sheet1!$F92:$J92))</f>
        <v>8.1499999999999773</v>
      </c>
      <c r="I83" s="293">
        <f>IF(I$45&lt;0,0,Sheet1!I92+SUMPRODUCT($F$45:$J$45,Sheet1!$F92:$J92))</f>
        <v>2.9499999999999886</v>
      </c>
      <c r="J83" s="293">
        <f>IF(J$45&lt;0,0,Sheet1!J92+SUMPRODUCT($F$45:$J$45,Sheet1!$F92:$J92))</f>
        <v>-1.8500000000000227</v>
      </c>
      <c r="K83" s="317" t="str">
        <f>IF(SUMIFS($F$43:$J$43,Sheet1!F92:J92,"",$F$45:$J$45,"&lt;0")&gt;0,IF(OR(SUMIFS($F$42:$J$42,F83:J83,"")=SUM($F$42:$J$42),SUMIFS($F$42:$J$42,F83:J83,"")=SUMIFS($F$42:$J$42,$F$45:$J$45,"=0")),"","Clear all deltas"),IF(SUMIFS($F$43:$J$43,Sheet1!F92:J92,"",$F$45:$J$45,"=0")-SUMIFS($F$43:$J$43,F83:J83,"",$F$45:$J$45,"=0")&gt;0,"Clear deltas with missing values",""))</f>
        <v/>
      </c>
      <c r="L83" s="310"/>
      <c r="M83" s="37"/>
      <c r="N83" s="100"/>
      <c r="O83" s="292" t="str">
        <f t="shared" si="54"/>
        <v>Exptal</v>
      </c>
      <c r="P83" s="292" t="str">
        <f t="shared" si="55"/>
        <v>Courtney</v>
      </c>
      <c r="Q83" s="293"/>
      <c r="R83" s="296"/>
      <c r="S83" s="297">
        <f>IF(S$45&lt;0,0,Sheet1!W92+SUMPRODUCT($F$45:$J$45,Sheet1!$W92:$AA92))</f>
        <v>0</v>
      </c>
      <c r="T83" s="297">
        <f>IF(T$45&lt;0,0,Sheet1!X92+SUMPRODUCT($F$45:$J$45,Sheet1!$W92:$AA92))</f>
        <v>0</v>
      </c>
      <c r="U83" s="297">
        <f>IF(U$45&lt;0,0,Sheet1!Y92+SUMPRODUCT($F$45:$J$45,Sheet1!$W92:$AA92))</f>
        <v>2.0515230416153827</v>
      </c>
      <c r="V83" s="297">
        <f>IF(V$45&lt;0,0,Sheet1!Z92+SUMPRODUCT($F$45:$J$45,Sheet1!$W92:$AA92))</f>
        <v>0.74759283183664138</v>
      </c>
      <c r="W83" s="297">
        <f>IF(W$45&lt;0,0,Sheet1!AA92+SUMPRODUCT($F$45:$J$45,Sheet1!$W92:$AA92))</f>
        <v>-0.47131509841085517</v>
      </c>
      <c r="X83" s="317" t="str">
        <f>IF(ISERROR(SUM(S83:W83)),"Clear #NUM! in Sheet1",IF(SUMIFS($S$43:$W$43,Sheet1!W92:AA92,"",$S$45:$W$45,"&lt;0")&gt;0,IF(OR(SUMIFS($S$42:$W$42,S83:W83,"")=SUM($S$42:$W$42),SUMIFS($S$42:$W$42,S83:W83,"")=SUMIFS($S$42:$W$42,$S$45:$W$45,"=0")),"","Clear all deltas"),IF(SUMIFS($S$43:$W$43,Sheet1!W92:AA92,"",$S$45:$W$45,"=0")-SUMIFS($S$43:$W$43,S83:W83,"",$S$45:$W$45,"=0")&gt;0,"Clear deltas with missing values","")))</f>
        <v/>
      </c>
      <c r="Y83" s="315"/>
      <c r="Z83" s="19"/>
      <c r="AA83" s="48"/>
      <c r="AB83" s="34"/>
      <c r="AC83" s="2"/>
    </row>
    <row r="84" spans="1:29" x14ac:dyDescent="0.2">
      <c r="A84" s="100"/>
      <c r="B84" s="292" t="str">
        <f>Sheet1!B93</f>
        <v>Exptal</v>
      </c>
      <c r="C84" s="292" t="str">
        <f>Sheet1!C93</f>
        <v>Devon</v>
      </c>
      <c r="D84" s="293"/>
      <c r="E84" s="293"/>
      <c r="F84" s="293">
        <f>IF(F$45&lt;0,0,Sheet1!F93+SUMPRODUCT($F$45:$J$45,Sheet1!$F93:$J93))</f>
        <v>0</v>
      </c>
      <c r="G84" s="293">
        <f>IF(G$45&lt;0,0,Sheet1!G93+SUMPRODUCT($F$45:$J$45,Sheet1!$F93:$J93))</f>
        <v>0</v>
      </c>
      <c r="H84" s="293">
        <f>IF(H$45&lt;0,0,Sheet1!H93+SUMPRODUCT($F$45:$J$45,Sheet1!$F93:$J93))</f>
        <v>24.350000000000023</v>
      </c>
      <c r="I84" s="293">
        <f>IF(I$45&lt;0,0,Sheet1!I93+SUMPRODUCT($F$45:$J$45,Sheet1!$F93:$J93))</f>
        <v>35.550000000000011</v>
      </c>
      <c r="J84" s="293">
        <f>IF(J$45&lt;0,0,Sheet1!J93+SUMPRODUCT($F$45:$J$45,Sheet1!$F93:$J93))</f>
        <v>6.1500000000000341</v>
      </c>
      <c r="K84" s="317" t="str">
        <f>IF(SUMIFS($F$43:$J$43,Sheet1!F93:J93,"",$F$45:$J$45,"&lt;0")&gt;0,IF(OR(SUMIFS($F$42:$J$42,F84:J84,"")=SUM($F$42:$J$42),SUMIFS($F$42:$J$42,F84:J84,"")=SUMIFS($F$42:$J$42,$F$45:$J$45,"=0")),"","Clear all deltas"),IF(SUMIFS($F$43:$J$43,Sheet1!F93:J93,"",$F$45:$J$45,"=0")-SUMIFS($F$43:$J$43,F84:J84,"",$F$45:$J$45,"=0")&gt;0,"Clear deltas with missing values",""))</f>
        <v/>
      </c>
      <c r="L84" s="310"/>
      <c r="M84" s="37"/>
      <c r="N84" s="100"/>
      <c r="O84" s="292" t="str">
        <f t="shared" si="54"/>
        <v>Exptal</v>
      </c>
      <c r="P84" s="292" t="str">
        <f t="shared" si="55"/>
        <v>Devon</v>
      </c>
      <c r="Q84" s="293"/>
      <c r="R84" s="296"/>
      <c r="S84" s="297">
        <f>IF(S$45&lt;0,0,Sheet1!W93+SUMPRODUCT($F$45:$J$45,Sheet1!$W93:$AA93))</f>
        <v>0</v>
      </c>
      <c r="T84" s="297">
        <f>IF(T$45&lt;0,0,Sheet1!X93+SUMPRODUCT($F$45:$J$45,Sheet1!$W93:$AA93))</f>
        <v>0</v>
      </c>
      <c r="U84" s="297">
        <f>IF(U$45&lt;0,0,Sheet1!Y93+SUMPRODUCT($F$45:$J$45,Sheet1!$W93:$AA93))</f>
        <v>5.8559936966192936</v>
      </c>
      <c r="V84" s="297">
        <f>IF(V$45&lt;0,0,Sheet1!Z93+SUMPRODUCT($F$45:$J$45,Sheet1!$W93:$AA93))</f>
        <v>8.4361875115122302</v>
      </c>
      <c r="W84" s="297">
        <f>IF(W$45&lt;0,0,Sheet1!AA93+SUMPRODUCT($F$45:$J$45,Sheet1!$W93:$AA93))</f>
        <v>1.5157798376499159</v>
      </c>
      <c r="X84" s="317" t="str">
        <f>IF(ISERROR(SUM(S84:W84)),"Clear #NUM! in Sheet1",IF(SUMIFS($S$43:$W$43,Sheet1!W93:AA93,"",$S$45:$W$45,"&lt;0")&gt;0,IF(OR(SUMIFS($S$42:$W$42,S84:W84,"")=SUM($S$42:$W$42),SUMIFS($S$42:$W$42,S84:W84,"")=SUMIFS($S$42:$W$42,$S$45:$W$45,"=0")),"","Clear all deltas"),IF(SUMIFS($S$43:$W$43,Sheet1!W93:AA93,"",$S$45:$W$45,"=0")-SUMIFS($S$43:$W$43,S84:W84,"",$S$45:$W$45,"=0")&gt;0,"Clear deltas with missing values","")))</f>
        <v/>
      </c>
      <c r="Y84" s="315"/>
      <c r="Z84" s="19"/>
      <c r="AA84" s="48"/>
      <c r="AB84" s="34"/>
      <c r="AC84" s="2"/>
    </row>
    <row r="85" spans="1:29" x14ac:dyDescent="0.2">
      <c r="A85" s="100"/>
      <c r="B85" s="292" t="str">
        <f>Sheet1!B94</f>
        <v>Exptal</v>
      </c>
      <c r="C85" s="292" t="str">
        <f>Sheet1!C94</f>
        <v>Drew</v>
      </c>
      <c r="D85" s="293"/>
      <c r="E85" s="293"/>
      <c r="F85" s="293">
        <f>IF(F$45&lt;0,0,Sheet1!F94+SUMPRODUCT($F$45:$J$45,Sheet1!$F94:$J94))</f>
        <v>0</v>
      </c>
      <c r="G85" s="293">
        <f>IF(G$45&lt;0,0,Sheet1!G94+SUMPRODUCT($F$45:$J$45,Sheet1!$F94:$J94))</f>
        <v>0</v>
      </c>
      <c r="H85" s="293">
        <f>IF(H$45&lt;0,0,Sheet1!H94+SUMPRODUCT($F$45:$J$45,Sheet1!$F94:$J94))</f>
        <v>-1.1000000000000227</v>
      </c>
      <c r="I85" s="293">
        <f>IF(I$45&lt;0,0,Sheet1!I94+SUMPRODUCT($F$45:$J$45,Sheet1!$F94:$J94))</f>
        <v>0.30000000000001137</v>
      </c>
      <c r="J85" s="293">
        <f>IF(J$45&lt;0,0,Sheet1!J94+SUMPRODUCT($F$45:$J$45,Sheet1!$F94:$J94))</f>
        <v>6.1999999999999886</v>
      </c>
      <c r="K85" s="317" t="str">
        <f>IF(SUMIFS($F$43:$J$43,Sheet1!F94:J94,"",$F$45:$J$45,"&lt;0")&gt;0,IF(OR(SUMIFS($F$42:$J$42,F85:J85,"")=SUM($F$42:$J$42),SUMIFS($F$42:$J$42,F85:J85,"")=SUMIFS($F$42:$J$42,$F$45:$J$45,"=0")),"","Clear all deltas"),IF(SUMIFS($F$43:$J$43,Sheet1!F94:J94,"",$F$45:$J$45,"=0")-SUMIFS($F$43:$J$43,F85:J85,"",$F$45:$J$45,"=0")&gt;0,"Clear deltas with missing values",""))</f>
        <v/>
      </c>
      <c r="L85" s="310"/>
      <c r="M85" s="37"/>
      <c r="N85" s="100"/>
      <c r="O85" s="292" t="str">
        <f t="shared" si="54"/>
        <v>Exptal</v>
      </c>
      <c r="P85" s="292" t="str">
        <f t="shared" si="55"/>
        <v>Drew</v>
      </c>
      <c r="Q85" s="293"/>
      <c r="R85" s="296"/>
      <c r="S85" s="297">
        <f>IF(S$45&lt;0,0,Sheet1!W94+SUMPRODUCT($F$45:$J$45,Sheet1!$W94:$AA94))</f>
        <v>0</v>
      </c>
      <c r="T85" s="297">
        <f>IF(T$45&lt;0,0,Sheet1!X94+SUMPRODUCT($F$45:$J$45,Sheet1!$W94:$AA94))</f>
        <v>0</v>
      </c>
      <c r="U85" s="297">
        <f>IF(U$45&lt;0,0,Sheet1!Y94+SUMPRODUCT($F$45:$J$45,Sheet1!$W94:$AA94))</f>
        <v>-0.2585656442522577</v>
      </c>
      <c r="V85" s="297">
        <f>IF(V$45&lt;0,0,Sheet1!Z94+SUMPRODUCT($F$45:$J$45,Sheet1!$W94:$AA94))</f>
        <v>9.2223991333526101E-2</v>
      </c>
      <c r="W85" s="297">
        <f>IF(W$45&lt;0,0,Sheet1!AA94+SUMPRODUCT($F$45:$J$45,Sheet1!$W94:$AA94))</f>
        <v>1.5571788059436358</v>
      </c>
      <c r="X85" s="317" t="str">
        <f>IF(ISERROR(SUM(S85:W85)),"Clear #NUM! in Sheet1",IF(SUMIFS($S$43:$W$43,Sheet1!W94:AA94,"",$S$45:$W$45,"&lt;0")&gt;0,IF(OR(SUMIFS($S$42:$W$42,S85:W85,"")=SUM($S$42:$W$42),SUMIFS($S$42:$W$42,S85:W85,"")=SUMIFS($S$42:$W$42,$S$45:$W$45,"=0")),"","Clear all deltas"),IF(SUMIFS($S$43:$W$43,Sheet1!W94:AA94,"",$S$45:$W$45,"=0")-SUMIFS($S$43:$W$43,S85:W85,"",$S$45:$W$45,"=0")&gt;0,"Clear deltas with missing values","")))</f>
        <v/>
      </c>
      <c r="Y85" s="315"/>
      <c r="Z85" s="19"/>
      <c r="AA85" s="48"/>
      <c r="AB85" s="34"/>
      <c r="AC85" s="2"/>
    </row>
    <row r="86" spans="1:29" x14ac:dyDescent="0.2">
      <c r="A86" s="100"/>
      <c r="B86" s="292" t="str">
        <f>Sheet1!B95</f>
        <v>Exptal</v>
      </c>
      <c r="C86" s="292" t="str">
        <f>Sheet1!C95</f>
        <v>Dylan</v>
      </c>
      <c r="D86" s="293"/>
      <c r="E86" s="293"/>
      <c r="F86" s="293">
        <f>IF(F$45&lt;0,0,Sheet1!F95+SUMPRODUCT($F$45:$J$45,Sheet1!$F95:$J95))</f>
        <v>0</v>
      </c>
      <c r="G86" s="293">
        <f>IF(G$45&lt;0,0,Sheet1!G95+SUMPRODUCT($F$45:$J$45,Sheet1!$F95:$J95))</f>
        <v>0</v>
      </c>
      <c r="H86" s="293">
        <f>IF(H$45&lt;0,0,Sheet1!H95+SUMPRODUCT($F$45:$J$45,Sheet1!$F95:$J95))</f>
        <v>5.5500000000000114</v>
      </c>
      <c r="I86" s="293">
        <f>IF(I$45&lt;0,0,Sheet1!I95+SUMPRODUCT($F$45:$J$45,Sheet1!$F95:$J95))</f>
        <v>-2.4499999999999886</v>
      </c>
      <c r="J86" s="293">
        <f>IF(J$45&lt;0,0,Sheet1!J95+SUMPRODUCT($F$45:$J$45,Sheet1!$F95:$J95))</f>
        <v>-4.8499999999999659</v>
      </c>
      <c r="K86" s="317" t="str">
        <f>IF(SUMIFS($F$43:$J$43,Sheet1!F95:J95,"",$F$45:$J$45,"&lt;0")&gt;0,IF(OR(SUMIFS($F$42:$J$42,F86:J86,"")=SUM($F$42:$J$42),SUMIFS($F$42:$J$42,F86:J86,"")=SUMIFS($F$42:$J$42,$F$45:$J$45,"=0")),"","Clear all deltas"),IF(SUMIFS($F$43:$J$43,Sheet1!F95:J95,"",$F$45:$J$45,"=0")-SUMIFS($F$43:$J$43,F86:J86,"",$F$45:$J$45,"=0")&gt;0,"Clear deltas with missing values",""))</f>
        <v/>
      </c>
      <c r="L86" s="310"/>
      <c r="M86" s="37"/>
      <c r="N86" s="100"/>
      <c r="O86" s="292" t="str">
        <f t="shared" si="54"/>
        <v>Exptal</v>
      </c>
      <c r="P86" s="292" t="str">
        <f t="shared" si="55"/>
        <v>Dylan</v>
      </c>
      <c r="Q86" s="293"/>
      <c r="R86" s="296"/>
      <c r="S86" s="297">
        <f>IF(S$45&lt;0,0,Sheet1!W95+SUMPRODUCT($F$45:$J$45,Sheet1!$W95:$AA95))</f>
        <v>0</v>
      </c>
      <c r="T86" s="297">
        <f>IF(T$45&lt;0,0,Sheet1!X95+SUMPRODUCT($F$45:$J$45,Sheet1!$W95:$AA95))</f>
        <v>0</v>
      </c>
      <c r="U86" s="297">
        <f>IF(U$45&lt;0,0,Sheet1!Y95+SUMPRODUCT($F$45:$J$45,Sheet1!$W95:$AA95))</f>
        <v>1.3837960898608799</v>
      </c>
      <c r="V86" s="297">
        <f>IF(V$45&lt;0,0,Sheet1!Z95+SUMPRODUCT($F$45:$J$45,Sheet1!$W95:$AA95))</f>
        <v>-0.61277634629266231</v>
      </c>
      <c r="W86" s="297">
        <f>IF(W$45&lt;0,0,Sheet1!AA95+SUMPRODUCT($F$45:$J$45,Sheet1!$W95:$AA95))</f>
        <v>-1.2196050099629474</v>
      </c>
      <c r="X86" s="317" t="str">
        <f>IF(ISERROR(SUM(S86:W86)),"Clear #NUM! in Sheet1",IF(SUMIFS($S$43:$W$43,Sheet1!W95:AA95,"",$S$45:$W$45,"&lt;0")&gt;0,IF(OR(SUMIFS($S$42:$W$42,S86:W86,"")=SUM($S$42:$W$42),SUMIFS($S$42:$W$42,S86:W86,"")=SUMIFS($S$42:$W$42,$S$45:$W$45,"=0")),"","Clear all deltas"),IF(SUMIFS($S$43:$W$43,Sheet1!W95:AA95,"",$S$45:$W$45,"=0")-SUMIFS($S$43:$W$43,S86:W86,"",$S$45:$W$45,"=0")&gt;0,"Clear deltas with missing values","")))</f>
        <v/>
      </c>
      <c r="Y86" s="315"/>
      <c r="Z86" s="19"/>
      <c r="AA86" s="48"/>
      <c r="AB86" s="34"/>
      <c r="AC86" s="2"/>
    </row>
    <row r="87" spans="1:29" x14ac:dyDescent="0.2">
      <c r="A87" s="100"/>
      <c r="B87" s="292" t="str">
        <f>Sheet1!B96</f>
        <v>Exptal</v>
      </c>
      <c r="C87" s="292" t="str">
        <f>Sheet1!C96</f>
        <v>Frances</v>
      </c>
      <c r="D87" s="293"/>
      <c r="E87" s="293"/>
      <c r="F87" s="293">
        <f>IF(F$45&lt;0,0,Sheet1!F96+SUMPRODUCT($F$45:$J$45,Sheet1!$F96:$J96))</f>
        <v>0</v>
      </c>
      <c r="G87" s="293">
        <f>IF(G$45&lt;0,0,Sheet1!G96+SUMPRODUCT($F$45:$J$45,Sheet1!$F96:$J96))</f>
        <v>0</v>
      </c>
      <c r="H87" s="293">
        <f>IF(H$45&lt;0,0,Sheet1!H96+SUMPRODUCT($F$45:$J$45,Sheet1!$F96:$J96))</f>
        <v>9.6500000000000341</v>
      </c>
      <c r="I87" s="293">
        <f>IF(I$45&lt;0,0,Sheet1!I96+SUMPRODUCT($F$45:$J$45,Sheet1!$F96:$J96))</f>
        <v>3.3500000000000227</v>
      </c>
      <c r="J87" s="293">
        <f>IF(J$45&lt;0,0,Sheet1!J96+SUMPRODUCT($F$45:$J$45,Sheet1!$F96:$J96))</f>
        <v>2.9500000000000455</v>
      </c>
      <c r="K87" s="317" t="str">
        <f>IF(SUMIFS($F$43:$J$43,Sheet1!F96:J96,"",$F$45:$J$45,"&lt;0")&gt;0,IF(OR(SUMIFS($F$42:$J$42,F87:J87,"")=SUM($F$42:$J$42),SUMIFS($F$42:$J$42,F87:J87,"")=SUMIFS($F$42:$J$42,$F$45:$J$45,"=0")),"","Clear all deltas"),IF(SUMIFS($F$43:$J$43,Sheet1!F96:J96,"",$F$45:$J$45,"=0")-SUMIFS($F$43:$J$43,F87:J87,"",$F$45:$J$45,"=0")&gt;0,"Clear deltas with missing values",""))</f>
        <v/>
      </c>
      <c r="L87" s="310"/>
      <c r="M87" s="37"/>
      <c r="N87" s="100"/>
      <c r="O87" s="292" t="str">
        <f t="shared" si="54"/>
        <v>Exptal</v>
      </c>
      <c r="P87" s="292" t="str">
        <f t="shared" si="55"/>
        <v>Frances</v>
      </c>
      <c r="Q87" s="293"/>
      <c r="R87" s="296"/>
      <c r="S87" s="297">
        <f>IF(S$45&lt;0,0,Sheet1!W96+SUMPRODUCT($F$45:$J$45,Sheet1!$W96:$AA96))</f>
        <v>0</v>
      </c>
      <c r="T87" s="297">
        <f>IF(T$45&lt;0,0,Sheet1!X96+SUMPRODUCT($F$45:$J$45,Sheet1!$W96:$AA96))</f>
        <v>0</v>
      </c>
      <c r="U87" s="297">
        <f>IF(U$45&lt;0,0,Sheet1!Y96+SUMPRODUCT($F$45:$J$45,Sheet1!$W96:$AA96))</f>
        <v>2.4269973247289727</v>
      </c>
      <c r="V87" s="297">
        <f>IF(V$45&lt;0,0,Sheet1!Z96+SUMPRODUCT($F$45:$J$45,Sheet1!$W96:$AA96))</f>
        <v>0.85412755061111056</v>
      </c>
      <c r="W87" s="297">
        <f>IF(W$45&lt;0,0,Sheet1!AA96+SUMPRODUCT($F$45:$J$45,Sheet1!$W96:$AA96))</f>
        <v>0.75342260755849111</v>
      </c>
      <c r="X87" s="317" t="str">
        <f>IF(ISERROR(SUM(S87:W87)),"Clear #NUM! in Sheet1",IF(SUMIFS($S$43:$W$43,Sheet1!W96:AA96,"",$S$45:$W$45,"&lt;0")&gt;0,IF(OR(SUMIFS($S$42:$W$42,S87:W87,"")=SUM($S$42:$W$42),SUMIFS($S$42:$W$42,S87:W87,"")=SUMIFS($S$42:$W$42,$S$45:$W$45,"=0")),"","Clear all deltas"),IF(SUMIFS($S$43:$W$43,Sheet1!W96:AA96,"",$S$45:$W$45,"=0")-SUMIFS($S$43:$W$43,S87:W87,"",$S$45:$W$45,"=0")&gt;0,"Clear deltas with missing values","")))</f>
        <v/>
      </c>
      <c r="Y87" s="315"/>
      <c r="Z87" s="19"/>
      <c r="AA87" s="48"/>
      <c r="AB87" s="34"/>
      <c r="AC87" s="2"/>
    </row>
    <row r="88" spans="1:29" x14ac:dyDescent="0.2">
      <c r="A88" s="100"/>
      <c r="B88" s="292" t="str">
        <f>Sheet1!B97</f>
        <v>Exptal</v>
      </c>
      <c r="C88" s="292" t="str">
        <f>Sheet1!C97</f>
        <v>Gene</v>
      </c>
      <c r="D88" s="293"/>
      <c r="E88" s="293"/>
      <c r="F88" s="293">
        <f>IF(F$45&lt;0,0,Sheet1!F97+SUMPRODUCT($F$45:$J$45,Sheet1!$F97:$J97))</f>
        <v>0</v>
      </c>
      <c r="G88" s="293">
        <f>IF(G$45&lt;0,0,Sheet1!G97+SUMPRODUCT($F$45:$J$45,Sheet1!$F97:$J97))</f>
        <v>0</v>
      </c>
      <c r="H88" s="293">
        <f>IF(H$45&lt;0,0,Sheet1!H97+SUMPRODUCT($F$45:$J$45,Sheet1!$F97:$J97))</f>
        <v>-0.80000000000001137</v>
      </c>
      <c r="I88" s="293">
        <f>IF(I$45&lt;0,0,Sheet1!I97+SUMPRODUCT($F$45:$J$45,Sheet1!$F97:$J97))</f>
        <v>-2.6999999999999886</v>
      </c>
      <c r="J88" s="293">
        <f>IF(J$45&lt;0,0,Sheet1!J97+SUMPRODUCT($F$45:$J$45,Sheet1!$F97:$J97))</f>
        <v>5.8000000000000114</v>
      </c>
      <c r="K88" s="317" t="str">
        <f>IF(SUMIFS($F$43:$J$43,Sheet1!F97:J97,"",$F$45:$J$45,"&lt;0")&gt;0,IF(OR(SUMIFS($F$42:$J$42,F88:J88,"")=SUM($F$42:$J$42),SUMIFS($F$42:$J$42,F88:J88,"")=SUMIFS($F$42:$J$42,$F$45:$J$45,"=0")),"","Clear all deltas"),IF(SUMIFS($F$43:$J$43,Sheet1!F97:J97,"",$F$45:$J$45,"=0")-SUMIFS($F$43:$J$43,F88:J88,"",$F$45:$J$45,"=0")&gt;0,"Clear deltas with missing values",""))</f>
        <v/>
      </c>
      <c r="L88" s="310"/>
      <c r="M88" s="37"/>
      <c r="N88" s="100"/>
      <c r="O88" s="292" t="str">
        <f t="shared" si="54"/>
        <v>Exptal</v>
      </c>
      <c r="P88" s="292" t="str">
        <f t="shared" si="55"/>
        <v>Gene</v>
      </c>
      <c r="Q88" s="293"/>
      <c r="R88" s="296"/>
      <c r="S88" s="297">
        <f>IF(S$45&lt;0,0,Sheet1!W97+SUMPRODUCT($F$45:$J$45,Sheet1!$W97:$AA97))</f>
        <v>0</v>
      </c>
      <c r="T88" s="297">
        <f>IF(T$45&lt;0,0,Sheet1!X97+SUMPRODUCT($F$45:$J$45,Sheet1!$W97:$AA97))</f>
        <v>0</v>
      </c>
      <c r="U88" s="297">
        <f>IF(U$45&lt;0,0,Sheet1!Y97+SUMPRODUCT($F$45:$J$45,Sheet1!$W97:$AA97))</f>
        <v>-0.19486738482794408</v>
      </c>
      <c r="V88" s="297">
        <f>IF(V$45&lt;0,0,Sheet1!Z97+SUMPRODUCT($F$45:$J$45,Sheet1!$W97:$AA97))</f>
        <v>-0.671118441661406</v>
      </c>
      <c r="W88" s="297">
        <f>IF(W$45&lt;0,0,Sheet1!AA97+SUMPRODUCT($F$45:$J$45,Sheet1!$W97:$AA97))</f>
        <v>1.4420739286814523</v>
      </c>
      <c r="X88" s="317" t="str">
        <f>IF(ISERROR(SUM(S88:W88)),"Clear #NUM! in Sheet1",IF(SUMIFS($S$43:$W$43,Sheet1!W97:AA97,"",$S$45:$W$45,"&lt;0")&gt;0,IF(OR(SUMIFS($S$42:$W$42,S88:W88,"")=SUM($S$42:$W$42),SUMIFS($S$42:$W$42,S88:W88,"")=SUMIFS($S$42:$W$42,$S$45:$W$45,"=0")),"","Clear all deltas"),IF(SUMIFS($S$43:$W$43,Sheet1!W97:AA97,"",$S$45:$W$45,"=0")-SUMIFS($S$43:$W$43,S88:W88,"",$S$45:$W$45,"=0")&gt;0,"Clear deltas with missing values","")))</f>
        <v/>
      </c>
      <c r="Y88" s="315"/>
      <c r="Z88" s="19"/>
      <c r="AA88" s="48"/>
      <c r="AB88" s="34"/>
      <c r="AC88" s="2"/>
    </row>
    <row r="89" spans="1:29" x14ac:dyDescent="0.2">
      <c r="A89" s="100"/>
      <c r="B89" s="292" t="str">
        <f>Sheet1!B98</f>
        <v>Exptal</v>
      </c>
      <c r="C89" s="292" t="str">
        <f>Sheet1!C98</f>
        <v>Jaimie</v>
      </c>
      <c r="D89" s="293"/>
      <c r="E89" s="293"/>
      <c r="F89" s="293">
        <f>IF(F$45&lt;0,0,Sheet1!F98+SUMPRODUCT($F$45:$J$45,Sheet1!$F98:$J98))</f>
        <v>0</v>
      </c>
      <c r="G89" s="293">
        <f>IF(G$45&lt;0,0,Sheet1!G98+SUMPRODUCT($F$45:$J$45,Sheet1!$F98:$J98))</f>
        <v>0</v>
      </c>
      <c r="H89" s="293">
        <f>IF(H$45&lt;0,0,Sheet1!H98+SUMPRODUCT($F$45:$J$45,Sheet1!$F98:$J98))</f>
        <v>22.699999999999989</v>
      </c>
      <c r="I89" s="293">
        <f>IF(I$45&lt;0,0,Sheet1!I98+SUMPRODUCT($F$45:$J$45,Sheet1!$F98:$J98))</f>
        <v>19.600000000000023</v>
      </c>
      <c r="J89" s="293">
        <f>IF(J$45&lt;0,0,Sheet1!J98+SUMPRODUCT($F$45:$J$45,Sheet1!$F98:$J98))</f>
        <v>12.800000000000011</v>
      </c>
      <c r="K89" s="317" t="str">
        <f>IF(SUMIFS($F$43:$J$43,Sheet1!F98:J98,"",$F$45:$J$45,"&lt;0")&gt;0,IF(OR(SUMIFS($F$42:$J$42,F89:J89,"")=SUM($F$42:$J$42),SUMIFS($F$42:$J$42,F89:J89,"")=SUMIFS($F$42:$J$42,$F$45:$J$45,"=0")),"","Clear all deltas"),IF(SUMIFS($F$43:$J$43,Sheet1!F98:J98,"",$F$45:$J$45,"=0")-SUMIFS($F$43:$J$43,F89:J89,"",$F$45:$J$45,"=0")&gt;0,"Clear deltas with missing values",""))</f>
        <v/>
      </c>
      <c r="L89" s="310"/>
      <c r="M89" s="37"/>
      <c r="N89" s="100"/>
      <c r="O89" s="292" t="str">
        <f t="shared" si="54"/>
        <v>Exptal</v>
      </c>
      <c r="P89" s="292" t="str">
        <f t="shared" si="55"/>
        <v>Jaimie</v>
      </c>
      <c r="Q89" s="293"/>
      <c r="R89" s="296"/>
      <c r="S89" s="297">
        <f>IF(S$45&lt;0,0,Sheet1!W98+SUMPRODUCT($F$45:$J$45,Sheet1!$W98:$AA98))</f>
        <v>0</v>
      </c>
      <c r="T89" s="297">
        <f>IF(T$45&lt;0,0,Sheet1!X98+SUMPRODUCT($F$45:$J$45,Sheet1!$W98:$AA98))</f>
        <v>0</v>
      </c>
      <c r="U89" s="297">
        <f>IF(U$45&lt;0,0,Sheet1!Y98+SUMPRODUCT($F$45:$J$45,Sheet1!$W98:$AA98))</f>
        <v>5.5506653760102154</v>
      </c>
      <c r="V89" s="297">
        <f>IF(V$45&lt;0,0,Sheet1!Z98+SUMPRODUCT($F$45:$J$45,Sheet1!$W98:$AA98))</f>
        <v>4.8110699732056901</v>
      </c>
      <c r="W89" s="297">
        <f>IF(W$45&lt;0,0,Sheet1!AA98+SUMPRODUCT($F$45:$J$45,Sheet1!$W98:$AA98))</f>
        <v>3.1693141218030405</v>
      </c>
      <c r="X89" s="317" t="str">
        <f>IF(ISERROR(SUM(S89:W89)),"Clear #NUM! in Sheet1",IF(SUMIFS($S$43:$W$43,Sheet1!W98:AA98,"",$S$45:$W$45,"&lt;0")&gt;0,IF(OR(SUMIFS($S$42:$W$42,S89:W89,"")=SUM($S$42:$W$42),SUMIFS($S$42:$W$42,S89:W89,"")=SUMIFS($S$42:$W$42,$S$45:$W$45,"=0")),"","Clear all deltas"),IF(SUMIFS($S$43:$W$43,Sheet1!W98:AA98,"",$S$45:$W$45,"=0")-SUMIFS($S$43:$W$43,S89:W89,"",$S$45:$W$45,"=0")&gt;0,"Clear deltas with missing values","")))</f>
        <v/>
      </c>
      <c r="Y89" s="315"/>
      <c r="Z89" s="19"/>
      <c r="AA89" s="48"/>
      <c r="AB89" s="34"/>
      <c r="AC89" s="2"/>
    </row>
    <row r="90" spans="1:29" x14ac:dyDescent="0.2">
      <c r="A90" s="100"/>
      <c r="B90" s="292" t="str">
        <f>Sheet1!B99</f>
        <v>Exptal</v>
      </c>
      <c r="C90" s="292" t="str">
        <f>Sheet1!C99</f>
        <v>Jean</v>
      </c>
      <c r="D90" s="293"/>
      <c r="E90" s="293"/>
      <c r="F90" s="293">
        <f>IF(F$45&lt;0,0,Sheet1!F99+SUMPRODUCT($F$45:$J$45,Sheet1!$F99:$J99))</f>
        <v>0</v>
      </c>
      <c r="G90" s="293">
        <f>IF(G$45&lt;0,0,Sheet1!G99+SUMPRODUCT($F$45:$J$45,Sheet1!$F99:$J99))</f>
        <v>0</v>
      </c>
      <c r="H90" s="293">
        <f>IF(H$45&lt;0,0,Sheet1!H99+SUMPRODUCT($F$45:$J$45,Sheet1!$F99:$J99))</f>
        <v>15.050000000000011</v>
      </c>
      <c r="I90" s="293">
        <f>IF(I$45&lt;0,0,Sheet1!I99+SUMPRODUCT($F$45:$J$45,Sheet1!$F99:$J99))</f>
        <v>-13.949999999999989</v>
      </c>
      <c r="J90" s="293">
        <f>IF(J$45&lt;0,0,Sheet1!J99+SUMPRODUCT($F$45:$J$45,Sheet1!$F99:$J99))</f>
        <v>-16.550000000000011</v>
      </c>
      <c r="K90" s="317" t="str">
        <f>IF(SUMIFS($F$43:$J$43,Sheet1!F99:J99,"",$F$45:$J$45,"&lt;0")&gt;0,IF(OR(SUMIFS($F$42:$J$42,F90:J90,"")=SUM($F$42:$J$42),SUMIFS($F$42:$J$42,F90:J90,"")=SUMIFS($F$42:$J$42,$F$45:$J$45,"=0")),"","Clear all deltas"),IF(SUMIFS($F$43:$J$43,Sheet1!F99:J99,"",$F$45:$J$45,"=0")-SUMIFS($F$43:$J$43,F90:J90,"",$F$45:$J$45,"=0")&gt;0,"Clear deltas with missing values",""))</f>
        <v/>
      </c>
      <c r="L90" s="310"/>
      <c r="M90" s="37"/>
      <c r="N90" s="100"/>
      <c r="O90" s="292" t="str">
        <f t="shared" si="54"/>
        <v>Exptal</v>
      </c>
      <c r="P90" s="292" t="str">
        <f t="shared" si="55"/>
        <v>Jean</v>
      </c>
      <c r="Q90" s="293"/>
      <c r="R90" s="296"/>
      <c r="S90" s="297">
        <f>IF(S$45&lt;0,0,Sheet1!W99+SUMPRODUCT($F$45:$J$45,Sheet1!$W99:$AA99))</f>
        <v>0</v>
      </c>
      <c r="T90" s="297">
        <f>IF(T$45&lt;0,0,Sheet1!X99+SUMPRODUCT($F$45:$J$45,Sheet1!$W99:$AA99))</f>
        <v>0</v>
      </c>
      <c r="U90" s="297">
        <f>IF(U$45&lt;0,0,Sheet1!Y99+SUMPRODUCT($F$45:$J$45,Sheet1!$W99:$AA99))</f>
        <v>3.6271409266468027</v>
      </c>
      <c r="V90" s="297">
        <f>IF(V$45&lt;0,0,Sheet1!Z99+SUMPRODUCT($F$45:$J$45,Sheet1!$W99:$AA99))</f>
        <v>-3.4836969673302747</v>
      </c>
      <c r="W90" s="297">
        <f>IF(W$45&lt;0,0,Sheet1!AA99+SUMPRODUCT($F$45:$J$45,Sheet1!$W99:$AA99))</f>
        <v>-4.1466264731851652</v>
      </c>
      <c r="X90" s="317" t="str">
        <f>IF(ISERROR(SUM(S90:W90)),"Clear #NUM! in Sheet1",IF(SUMIFS($S$43:$W$43,Sheet1!W99:AA99,"",$S$45:$W$45,"&lt;0")&gt;0,IF(OR(SUMIFS($S$42:$W$42,S90:W90,"")=SUM($S$42:$W$42),SUMIFS($S$42:$W$42,S90:W90,"")=SUMIFS($S$42:$W$42,$S$45:$W$45,"=0")),"","Clear all deltas"),IF(SUMIFS($S$43:$W$43,Sheet1!W99:AA99,"",$S$45:$W$45,"=0")-SUMIFS($S$43:$W$43,S90:W90,"",$S$45:$W$45,"=0")&gt;0,"Clear deltas with missing values","")))</f>
        <v/>
      </c>
      <c r="Y90" s="315"/>
      <c r="Z90" s="19"/>
      <c r="AA90" s="48"/>
      <c r="AB90" s="34"/>
      <c r="AC90" s="2"/>
    </row>
    <row r="91" spans="1:29" x14ac:dyDescent="0.2">
      <c r="A91" s="100"/>
      <c r="B91" s="292" t="str">
        <f>Sheet1!B100</f>
        <v>Exptal</v>
      </c>
      <c r="C91" s="292" t="str">
        <f>Sheet1!C100</f>
        <v>Jesse</v>
      </c>
      <c r="D91" s="293"/>
      <c r="E91" s="293"/>
      <c r="F91" s="293">
        <f>IF(F$45&lt;0,0,Sheet1!F100+SUMPRODUCT($F$45:$J$45,Sheet1!$F100:$J100))</f>
        <v>0</v>
      </c>
      <c r="G91" s="293">
        <f>IF(G$45&lt;0,0,Sheet1!G100+SUMPRODUCT($F$45:$J$45,Sheet1!$F100:$J100))</f>
        <v>0</v>
      </c>
      <c r="H91" s="293">
        <f>IF(H$45&lt;0,0,Sheet1!H100+SUMPRODUCT($F$45:$J$45,Sheet1!$F100:$J100))</f>
        <v>11</v>
      </c>
      <c r="I91" s="293">
        <f>IF(I$45&lt;0,0,Sheet1!I100+SUMPRODUCT($F$45:$J$45,Sheet1!$F100:$J100))</f>
        <v>-3.2999999999999545</v>
      </c>
      <c r="J91" s="293">
        <f>IF(J$45&lt;0,0,Sheet1!J100+SUMPRODUCT($F$45:$J$45,Sheet1!$F100:$J100))</f>
        <v>4.5</v>
      </c>
      <c r="K91" s="317" t="str">
        <f>IF(SUMIFS($F$43:$J$43,Sheet1!F100:J100,"",$F$45:$J$45,"&lt;0")&gt;0,IF(OR(SUMIFS($F$42:$J$42,F91:J91,"")=SUM($F$42:$J$42),SUMIFS($F$42:$J$42,F91:J91,"")=SUMIFS($F$42:$J$42,$F$45:$J$45,"=0")),"","Clear all deltas"),IF(SUMIFS($F$43:$J$43,Sheet1!F100:J100,"",$F$45:$J$45,"=0")-SUMIFS($F$43:$J$43,F91:J91,"",$F$45:$J$45,"=0")&gt;0,"Clear deltas with missing values",""))</f>
        <v/>
      </c>
      <c r="L91" s="310"/>
      <c r="M91" s="37"/>
      <c r="N91" s="100"/>
      <c r="O91" s="292" t="str">
        <f t="shared" si="54"/>
        <v>Exptal</v>
      </c>
      <c r="P91" s="292" t="str">
        <f t="shared" si="55"/>
        <v>Jesse</v>
      </c>
      <c r="Q91" s="293"/>
      <c r="R91" s="296"/>
      <c r="S91" s="297">
        <f>IF(S$45&lt;0,0,Sheet1!W100+SUMPRODUCT($F$45:$J$45,Sheet1!$W100:$AA100))</f>
        <v>0</v>
      </c>
      <c r="T91" s="297">
        <f>IF(T$45&lt;0,0,Sheet1!X100+SUMPRODUCT($F$45:$J$45,Sheet1!$W100:$AA100))</f>
        <v>0</v>
      </c>
      <c r="U91" s="297">
        <f>IF(U$45&lt;0,0,Sheet1!Y100+SUMPRODUCT($F$45:$J$45,Sheet1!$W100:$AA100))</f>
        <v>2.7525615608614089</v>
      </c>
      <c r="V91" s="297">
        <f>IF(V$45&lt;0,0,Sheet1!Z100+SUMPRODUCT($F$45:$J$45,Sheet1!$W100:$AA100))</f>
        <v>-0.83853366478160751</v>
      </c>
      <c r="W91" s="297">
        <f>IF(W$45&lt;0,0,Sheet1!AA100+SUMPRODUCT($F$45:$J$45,Sheet1!$W100:$AA100))</f>
        <v>1.1362140502076272</v>
      </c>
      <c r="X91" s="317" t="str">
        <f>IF(ISERROR(SUM(S91:W91)),"Clear #NUM! in Sheet1",IF(SUMIFS($S$43:$W$43,Sheet1!W100:AA100,"",$S$45:$W$45,"&lt;0")&gt;0,IF(OR(SUMIFS($S$42:$W$42,S91:W91,"")=SUM($S$42:$W$42),SUMIFS($S$42:$W$42,S91:W91,"")=SUMIFS($S$42:$W$42,$S$45:$W$45,"=0")),"","Clear all deltas"),IF(SUMIFS($S$43:$W$43,Sheet1!W100:AA100,"",$S$45:$W$45,"=0")-SUMIFS($S$43:$W$43,S91:W91,"",$S$45:$W$45,"=0")&gt;0,"Clear deltas with missing values","")))</f>
        <v/>
      </c>
      <c r="Y91" s="315"/>
      <c r="Z91" s="19"/>
      <c r="AA91" s="48"/>
      <c r="AB91" s="34"/>
      <c r="AC91" s="2"/>
    </row>
    <row r="92" spans="1:29" x14ac:dyDescent="0.2">
      <c r="A92" s="100"/>
      <c r="B92" s="292" t="str">
        <f>Sheet1!B101</f>
        <v>Exptal</v>
      </c>
      <c r="C92" s="292" t="str">
        <f>Sheet1!C101</f>
        <v>Jo</v>
      </c>
      <c r="D92" s="293"/>
      <c r="E92" s="293"/>
      <c r="F92" s="293">
        <f>IF(F$45&lt;0,0,Sheet1!F101+SUMPRODUCT($F$45:$J$45,Sheet1!$F101:$J101))</f>
        <v>0</v>
      </c>
      <c r="G92" s="293">
        <f>IF(G$45&lt;0,0,Sheet1!G101+SUMPRODUCT($F$45:$J$45,Sheet1!$F101:$J101))</f>
        <v>0</v>
      </c>
      <c r="H92" s="293">
        <f>IF(H$45&lt;0,0,Sheet1!H101+SUMPRODUCT($F$45:$J$45,Sheet1!$F101:$J101))</f>
        <v>15.700000000000045</v>
      </c>
      <c r="I92" s="293">
        <f>IF(I$45&lt;0,0,Sheet1!I101+SUMPRODUCT($F$45:$J$45,Sheet1!$F101:$J101))</f>
        <v>22.900000000000034</v>
      </c>
      <c r="J92" s="293">
        <f>IF(J$45&lt;0,0,Sheet1!J101+SUMPRODUCT($F$45:$J$45,Sheet1!$F101:$J101))</f>
        <v>14.800000000000011</v>
      </c>
      <c r="K92" s="317" t="str">
        <f>IF(SUMIFS($F$43:$J$43,Sheet1!F101:J101,"",$F$45:$J$45,"&lt;0")&gt;0,IF(OR(SUMIFS($F$42:$J$42,F92:J92,"")=SUM($F$42:$J$42),SUMIFS($F$42:$J$42,F92:J92,"")=SUMIFS($F$42:$J$42,$F$45:$J$45,"=0")),"","Clear all deltas"),IF(SUMIFS($F$43:$J$43,Sheet1!F101:J101,"",$F$45:$J$45,"=0")-SUMIFS($F$43:$J$43,F92:J92,"",$F$45:$J$45,"=0")&gt;0,"Clear deltas with missing values",""))</f>
        <v/>
      </c>
      <c r="L92" s="310"/>
      <c r="M92" s="37"/>
      <c r="N92" s="100"/>
      <c r="O92" s="292" t="str">
        <f t="shared" si="54"/>
        <v>Exptal</v>
      </c>
      <c r="P92" s="292" t="str">
        <f t="shared" si="55"/>
        <v>Jo</v>
      </c>
      <c r="Q92" s="293"/>
      <c r="R92" s="296"/>
      <c r="S92" s="297">
        <f>IF(S$45&lt;0,0,Sheet1!W101+SUMPRODUCT($F$45:$J$45,Sheet1!$W101:$AA101))</f>
        <v>0</v>
      </c>
      <c r="T92" s="297">
        <f>IF(T$45&lt;0,0,Sheet1!X101+SUMPRODUCT($F$45:$J$45,Sheet1!$W101:$AA101))</f>
        <v>0</v>
      </c>
      <c r="U92" s="297">
        <f>IF(U$45&lt;0,0,Sheet1!Y101+SUMPRODUCT($F$45:$J$45,Sheet1!$W101:$AA101))</f>
        <v>3.8696455087988397</v>
      </c>
      <c r="V92" s="297">
        <f>IF(V$45&lt;0,0,Sheet1!Z101+SUMPRODUCT($F$45:$J$45,Sheet1!$W101:$AA101))</f>
        <v>5.5934133521437843</v>
      </c>
      <c r="W92" s="297">
        <f>IF(W$45&lt;0,0,Sheet1!AA101+SUMPRODUCT($F$45:$J$45,Sheet1!$W101:$AA101))</f>
        <v>3.6520701781950038</v>
      </c>
      <c r="X92" s="317" t="str">
        <f>IF(ISERROR(SUM(S92:W92)),"Clear #NUM! in Sheet1",IF(SUMIFS($S$43:$W$43,Sheet1!W101:AA101,"",$S$45:$W$45,"&lt;0")&gt;0,IF(OR(SUMIFS($S$42:$W$42,S92:W92,"")=SUM($S$42:$W$42),SUMIFS($S$42:$W$42,S92:W92,"")=SUMIFS($S$42:$W$42,$S$45:$W$45,"=0")),"","Clear all deltas"),IF(SUMIFS($S$43:$W$43,Sheet1!W101:AA101,"",$S$45:$W$45,"=0")-SUMIFS($S$43:$W$43,S92:W92,"",$S$45:$W$45,"=0")&gt;0,"Clear deltas with missing values","")))</f>
        <v/>
      </c>
      <c r="Y92" s="315"/>
      <c r="Z92" s="19"/>
      <c r="AA92" s="48"/>
      <c r="AB92" s="34"/>
      <c r="AC92" s="2"/>
    </row>
    <row r="93" spans="1:29" x14ac:dyDescent="0.2">
      <c r="A93" s="100"/>
      <c r="B93" s="292" t="str">
        <f>Sheet1!B102</f>
        <v>Exptal</v>
      </c>
      <c r="C93" s="292" t="str">
        <f>Sheet1!C102</f>
        <v xml:space="preserve">Jody </v>
      </c>
      <c r="D93" s="293"/>
      <c r="E93" s="293"/>
      <c r="F93" s="293">
        <f>IF(F$45&lt;0,0,Sheet1!F102+SUMPRODUCT($F$45:$J$45,Sheet1!$F102:$J102))</f>
        <v>0</v>
      </c>
      <c r="G93" s="293">
        <f>IF(G$45&lt;0,0,Sheet1!G102+SUMPRODUCT($F$45:$J$45,Sheet1!$F102:$J102))</f>
        <v>0</v>
      </c>
      <c r="H93" s="293">
        <f>IF(H$45&lt;0,0,Sheet1!H102+SUMPRODUCT($F$45:$J$45,Sheet1!$F102:$J102))</f>
        <v>9.8000000000000114</v>
      </c>
      <c r="I93" s="293">
        <f>IF(I$45&lt;0,0,Sheet1!I102+SUMPRODUCT($F$45:$J$45,Sheet1!$F102:$J102))</f>
        <v>12.699999999999989</v>
      </c>
      <c r="J93" s="293">
        <f>IF(J$45&lt;0,0,Sheet1!J102+SUMPRODUCT($F$45:$J$45,Sheet1!$F102:$J102))</f>
        <v>6.0999999999999659</v>
      </c>
      <c r="K93" s="317" t="str">
        <f>IF(SUMIFS($F$43:$J$43,Sheet1!F102:J102,"",$F$45:$J$45,"&lt;0")&gt;0,IF(OR(SUMIFS($F$42:$J$42,F93:J93,"")=SUM($F$42:$J$42),SUMIFS($F$42:$J$42,F93:J93,"")=SUMIFS($F$42:$J$42,$F$45:$J$45,"=0")),"","Clear all deltas"),IF(SUMIFS($F$43:$J$43,Sheet1!F102:J102,"",$F$45:$J$45,"=0")-SUMIFS($F$43:$J$43,F93:J93,"",$F$45:$J$45,"=0")&gt;0,"Clear deltas with missing values",""))</f>
        <v/>
      </c>
      <c r="L93" s="311"/>
      <c r="M93" s="37"/>
      <c r="N93" s="100"/>
      <c r="O93" s="292" t="str">
        <f t="shared" si="54"/>
        <v>Exptal</v>
      </c>
      <c r="P93" s="292" t="str">
        <f t="shared" si="55"/>
        <v xml:space="preserve">Jody </v>
      </c>
      <c r="Q93" s="293"/>
      <c r="R93" s="296"/>
      <c r="S93" s="297">
        <f>IF(S$45&lt;0,0,Sheet1!W102+SUMPRODUCT($F$45:$J$45,Sheet1!$W102:$AA102))</f>
        <v>0</v>
      </c>
      <c r="T93" s="297">
        <f>IF(T$45&lt;0,0,Sheet1!X102+SUMPRODUCT($F$45:$J$45,Sheet1!$W102:$AA102))</f>
        <v>0</v>
      </c>
      <c r="U93" s="297">
        <f>IF(U$45&lt;0,0,Sheet1!Y102+SUMPRODUCT($F$45:$J$45,Sheet1!$W102:$AA102))</f>
        <v>2.4367984593638994</v>
      </c>
      <c r="V93" s="297">
        <f>IF(V$45&lt;0,0,Sheet1!Z102+SUMPRODUCT($F$45:$J$45,Sheet1!$W102:$AA102))</f>
        <v>3.1466288783059326</v>
      </c>
      <c r="W93" s="297">
        <f>IF(W$45&lt;0,0,Sheet1!AA102+SUMPRODUCT($F$45:$J$45,Sheet1!$W102:$AA102))</f>
        <v>1.5237754604816018</v>
      </c>
      <c r="X93" s="317" t="str">
        <f>IF(ISERROR(SUM(S93:W93)),"Clear #NUM! in Sheet1",IF(SUMIFS($S$43:$W$43,Sheet1!W102:AA102,"",$S$45:$W$45,"&lt;0")&gt;0,IF(OR(SUMIFS($S$42:$W$42,S93:W93,"")=SUM($S$42:$W$42),SUMIFS($S$42:$W$42,S93:W93,"")=SUMIFS($S$42:$W$42,$S$45:$W$45,"=0")),"","Clear all deltas"),IF(SUMIFS($S$43:$W$43,Sheet1!W102:AA102,"",$S$45:$W$45,"=0")-SUMIFS($S$43:$W$43,S93:W93,"",$S$45:$W$45,"=0")&gt;0,"Clear deltas with missing values","")))</f>
        <v/>
      </c>
      <c r="Y93" s="315"/>
      <c r="Z93" s="19"/>
      <c r="AA93" s="48"/>
      <c r="AB93" s="34"/>
      <c r="AC93" s="2"/>
    </row>
    <row r="94" spans="1:29" x14ac:dyDescent="0.2">
      <c r="A94" s="100"/>
      <c r="B94" s="292" t="str">
        <f>Sheet1!B103</f>
        <v>Exptal</v>
      </c>
      <c r="C94" s="292" t="str">
        <f>Sheet1!C103</f>
        <v>Jordan</v>
      </c>
      <c r="D94" s="293"/>
      <c r="E94" s="293"/>
      <c r="F94" s="293">
        <f>IF(F$45&lt;0,0,Sheet1!F103+SUMPRODUCT($F$45:$J$45,Sheet1!$F103:$J103))</f>
        <v>0</v>
      </c>
      <c r="G94" s="293">
        <f>IF(G$45&lt;0,0,Sheet1!G103+SUMPRODUCT($F$45:$J$45,Sheet1!$F103:$J103))</f>
        <v>0</v>
      </c>
      <c r="H94" s="293">
        <f>IF(H$45&lt;0,0,Sheet1!H103+SUMPRODUCT($F$45:$J$45,Sheet1!$F103:$J103))</f>
        <v>7.1000000000000227</v>
      </c>
      <c r="I94" s="293">
        <f>IF(I$45&lt;0,0,Sheet1!I103+SUMPRODUCT($F$45:$J$45,Sheet1!$F103:$J103))</f>
        <v>3.1000000000000227</v>
      </c>
      <c r="J94" s="293">
        <f>IF(J$45&lt;0,0,Sheet1!J103+SUMPRODUCT($F$45:$J$45,Sheet1!$F103:$J103))</f>
        <v>-2.7999999999999545</v>
      </c>
      <c r="K94" s="317" t="str">
        <f>IF(SUMIFS($F$43:$J$43,Sheet1!F103:J103,"",$F$45:$J$45,"&lt;0")&gt;0,IF(OR(SUMIFS($F$42:$J$42,F94:J94,"")=SUM($F$42:$J$42),SUMIFS($F$42:$J$42,F94:J94,"")=SUMIFS($F$42:$J$42,$F$45:$J$45,"=0")),"","Clear all deltas"),IF(SUMIFS($F$43:$J$43,Sheet1!F103:J103,"",$F$45:$J$45,"=0")-SUMIFS($F$43:$J$43,F94:J94,"",$F$45:$J$45,"=0")&gt;0,"Clear deltas with missing values",""))</f>
        <v/>
      </c>
      <c r="L94" s="310"/>
      <c r="M94" s="37"/>
      <c r="N94" s="100"/>
      <c r="O94" s="292" t="str">
        <f t="shared" si="54"/>
        <v>Exptal</v>
      </c>
      <c r="P94" s="292" t="str">
        <f t="shared" si="55"/>
        <v>Jordan</v>
      </c>
      <c r="Q94" s="293"/>
      <c r="R94" s="296"/>
      <c r="S94" s="297">
        <f>IF(S$45&lt;0,0,Sheet1!W103+SUMPRODUCT($F$45:$J$45,Sheet1!$W103:$AA103))</f>
        <v>0</v>
      </c>
      <c r="T94" s="297">
        <f>IF(T$45&lt;0,0,Sheet1!X103+SUMPRODUCT($F$45:$J$45,Sheet1!$W103:$AA103))</f>
        <v>0</v>
      </c>
      <c r="U94" s="297">
        <f>IF(U$45&lt;0,0,Sheet1!Y103+SUMPRODUCT($F$45:$J$45,Sheet1!$W103:$AA103))</f>
        <v>1.7984282348302258</v>
      </c>
      <c r="V94" s="297">
        <f>IF(V$45&lt;0,0,Sheet1!Z103+SUMPRODUCT($F$45:$J$45,Sheet1!$W103:$AA103))</f>
        <v>0.79591357289234566</v>
      </c>
      <c r="W94" s="297">
        <f>IF(W$45&lt;0,0,Sheet1!AA103+SUMPRODUCT($F$45:$J$45,Sheet1!$W103:$AA103))</f>
        <v>-0.70138631967984111</v>
      </c>
      <c r="X94" s="317" t="str">
        <f>IF(ISERROR(SUM(S94:W94)),"Clear #NUM! in Sheet1",IF(SUMIFS($S$43:$W$43,Sheet1!W103:AA103,"",$S$45:$W$45,"&lt;0")&gt;0,IF(OR(SUMIFS($S$42:$W$42,S94:W94,"")=SUM($S$42:$W$42),SUMIFS($S$42:$W$42,S94:W94,"")=SUMIFS($S$42:$W$42,$S$45:$W$45,"=0")),"","Clear all deltas"),IF(SUMIFS($S$43:$W$43,Sheet1!W103:AA103,"",$S$45:$W$45,"=0")-SUMIFS($S$43:$W$43,S94:W94,"",$S$45:$W$45,"=0")&gt;0,"Clear deltas with missing values","")))</f>
        <v/>
      </c>
      <c r="Y94" s="315"/>
      <c r="Z94" s="19"/>
      <c r="AA94" s="48"/>
      <c r="AB94" s="34"/>
      <c r="AC94" s="2"/>
    </row>
    <row r="95" spans="1:29" x14ac:dyDescent="0.2">
      <c r="A95" s="100"/>
      <c r="B95" s="292" t="str">
        <f>Sheet1!B104</f>
        <v>Exptal</v>
      </c>
      <c r="C95" s="292" t="str">
        <f>Sheet1!C104</f>
        <v>Kelly</v>
      </c>
      <c r="D95" s="293"/>
      <c r="E95" s="293"/>
      <c r="F95" s="293">
        <f>IF(F$45&lt;0,0,Sheet1!F104+SUMPRODUCT($F$45:$J$45,Sheet1!$F104:$J104))</f>
        <v>0</v>
      </c>
      <c r="G95" s="293">
        <f>IF(G$45&lt;0,0,Sheet1!G104+SUMPRODUCT($F$45:$J$45,Sheet1!$F104:$J104))</f>
        <v>0</v>
      </c>
      <c r="H95" s="293">
        <f>IF(H$45&lt;0,0,Sheet1!H104+SUMPRODUCT($F$45:$J$45,Sheet1!$F104:$J104))</f>
        <v>3.5999999999999659</v>
      </c>
      <c r="I95" s="293">
        <f>IF(I$45&lt;0,0,Sheet1!I104+SUMPRODUCT($F$45:$J$45,Sheet1!$F104:$J104))</f>
        <v>-0.20000000000004547</v>
      </c>
      <c r="J95" s="293">
        <f>IF(J$45&lt;0,0,Sheet1!J104+SUMPRODUCT($F$45:$J$45,Sheet1!$F104:$J104))</f>
        <v>18.999999999999943</v>
      </c>
      <c r="K95" s="317" t="str">
        <f>IF(SUMIFS($F$43:$J$43,Sheet1!F104:J104,"",$F$45:$J$45,"&lt;0")&gt;0,IF(OR(SUMIFS($F$42:$J$42,F95:J95,"")=SUM($F$42:$J$42),SUMIFS($F$42:$J$42,F95:J95,"")=SUMIFS($F$42:$J$42,$F$45:$J$45,"=0")),"","Clear all deltas"),IF(SUMIFS($F$43:$J$43,Sheet1!F104:J104,"",$F$45:$J$45,"=0")-SUMIFS($F$43:$J$43,F95:J95,"",$F$45:$J$45,"=0")&gt;0,"Clear deltas with missing values",""))</f>
        <v/>
      </c>
      <c r="L95" s="310"/>
      <c r="M95" s="37"/>
      <c r="N95" s="100"/>
      <c r="O95" s="292" t="str">
        <f t="shared" si="54"/>
        <v>Exptal</v>
      </c>
      <c r="P95" s="292" t="str">
        <f t="shared" si="55"/>
        <v>Kelly</v>
      </c>
      <c r="Q95" s="293"/>
      <c r="R95" s="296"/>
      <c r="S95" s="297">
        <f>IF(S$45&lt;0,0,Sheet1!W104+SUMPRODUCT($F$45:$J$45,Sheet1!$W104:$AA104))</f>
        <v>0</v>
      </c>
      <c r="T95" s="297">
        <f>IF(T$45&lt;0,0,Sheet1!X104+SUMPRODUCT($F$45:$J$45,Sheet1!$W104:$AA104))</f>
        <v>0</v>
      </c>
      <c r="U95" s="297">
        <f>IF(U$45&lt;0,0,Sheet1!Y104+SUMPRODUCT($F$45:$J$45,Sheet1!$W104:$AA104))</f>
        <v>0.88187114251286403</v>
      </c>
      <c r="V95" s="297">
        <f>IF(V$45&lt;0,0,Sheet1!Z104+SUMPRODUCT($F$45:$J$45,Sheet1!$W104:$AA104))</f>
        <v>-4.8595903514637939E-2</v>
      </c>
      <c r="W95" s="297">
        <f>IF(W$45&lt;0,0,Sheet1!AA104+SUMPRODUCT($F$45:$J$45,Sheet1!$W104:$AA104))</f>
        <v>4.56649848110942</v>
      </c>
      <c r="X95" s="317" t="str">
        <f>IF(ISERROR(SUM(S95:W95)),"Clear #NUM! in Sheet1",IF(SUMIFS($S$43:$W$43,Sheet1!W104:AA104,"",$S$45:$W$45,"&lt;0")&gt;0,IF(OR(SUMIFS($S$42:$W$42,S95:W95,"")=SUM($S$42:$W$42),SUMIFS($S$42:$W$42,S95:W95,"")=SUMIFS($S$42:$W$42,$S$45:$W$45,"=0")),"","Clear all deltas"),IF(SUMIFS($S$43:$W$43,Sheet1!W104:AA104,"",$S$45:$W$45,"=0")-SUMIFS($S$43:$W$43,S95:W95,"",$S$45:$W$45,"=0")&gt;0,"Clear deltas with missing values","")))</f>
        <v/>
      </c>
      <c r="Y95" s="316"/>
      <c r="Z95" s="19"/>
      <c r="AA95" s="48"/>
      <c r="AB95" s="34"/>
      <c r="AC95" s="2"/>
    </row>
    <row r="96" spans="1:29" x14ac:dyDescent="0.2">
      <c r="A96" s="100"/>
      <c r="B96" s="102"/>
      <c r="C96" s="102"/>
      <c r="D96" s="294"/>
      <c r="E96" s="103" t="s">
        <v>1</v>
      </c>
      <c r="F96" s="83">
        <f t="shared" ref="F96:J96" si="56">AVERAGE(F76:F95)</f>
        <v>0</v>
      </c>
      <c r="G96" s="83">
        <f t="shared" ref="G96:I96" si="57">AVERAGE(G76:G95)</f>
        <v>0</v>
      </c>
      <c r="H96" s="83">
        <f t="shared" si="57"/>
        <v>10.66500000000001</v>
      </c>
      <c r="I96" s="83">
        <f t="shared" si="57"/>
        <v>6.5500000000000114</v>
      </c>
      <c r="J96" s="83">
        <f t="shared" si="56"/>
        <v>5.1500000000000083</v>
      </c>
      <c r="K96" s="303"/>
      <c r="L96" s="17"/>
      <c r="M96" s="37"/>
      <c r="N96" s="100"/>
      <c r="O96" s="102"/>
      <c r="P96" s="102"/>
      <c r="Q96" s="298"/>
      <c r="R96" s="300" t="s">
        <v>1</v>
      </c>
      <c r="S96" s="286">
        <f t="shared" ref="S96:W96" si="58">AVERAGE(S76:S95)</f>
        <v>0</v>
      </c>
      <c r="T96" s="286">
        <f t="shared" ref="T96:V96" si="59">AVERAGE(T76:T95)</f>
        <v>0</v>
      </c>
      <c r="U96" s="286">
        <f t="shared" si="59"/>
        <v>2.6184791694412639</v>
      </c>
      <c r="V96" s="286">
        <f t="shared" si="59"/>
        <v>1.5943596656458794</v>
      </c>
      <c r="W96" s="286">
        <f t="shared" si="58"/>
        <v>1.2544111162728484</v>
      </c>
      <c r="X96" s="19"/>
      <c r="Y96" s="19"/>
      <c r="Z96" s="19"/>
      <c r="AA96" s="107"/>
      <c r="AB96" s="34"/>
      <c r="AC96" s="2"/>
    </row>
    <row r="97" spans="1:29" x14ac:dyDescent="0.2">
      <c r="A97" s="100"/>
      <c r="B97" s="108"/>
      <c r="C97" s="108"/>
      <c r="D97" s="295"/>
      <c r="E97" s="111" t="s">
        <v>2</v>
      </c>
      <c r="F97" s="86">
        <f t="shared" ref="F97:J97" si="60">STDEV(F76:F95)</f>
        <v>0</v>
      </c>
      <c r="G97" s="86">
        <f t="shared" ref="G97:I97" si="61">STDEV(G76:G95)</f>
        <v>0</v>
      </c>
      <c r="H97" s="86">
        <f t="shared" si="61"/>
        <v>8.5332183723067647</v>
      </c>
      <c r="I97" s="86">
        <f t="shared" si="61"/>
        <v>12.765238571584696</v>
      </c>
      <c r="J97" s="86">
        <f t="shared" si="60"/>
        <v>11.344613839082163</v>
      </c>
      <c r="K97" s="303"/>
      <c r="L97" s="17"/>
      <c r="M97" s="37"/>
      <c r="N97" s="100"/>
      <c r="O97" s="108"/>
      <c r="P97" s="108"/>
      <c r="Q97" s="119"/>
      <c r="R97" s="25" t="s">
        <v>2</v>
      </c>
      <c r="S97" s="287">
        <f t="shared" ref="S97:W97" si="62">STDEV(S76:S95)</f>
        <v>0</v>
      </c>
      <c r="T97" s="287">
        <f t="shared" ref="T97:V97" si="63">STDEV(T76:T95)</f>
        <v>0</v>
      </c>
      <c r="U97" s="287">
        <f t="shared" si="63"/>
        <v>2.0650114429162532</v>
      </c>
      <c r="V97" s="287">
        <f t="shared" si="63"/>
        <v>3.1070924709113972</v>
      </c>
      <c r="W97" s="287">
        <f t="shared" si="62"/>
        <v>2.831374823746998</v>
      </c>
      <c r="X97" s="19"/>
      <c r="Y97" s="19"/>
      <c r="Z97" s="19"/>
      <c r="AA97" s="107"/>
      <c r="AB97" s="34"/>
      <c r="AC97" s="2"/>
    </row>
    <row r="98" spans="1:29" x14ac:dyDescent="0.2">
      <c r="A98" s="100"/>
      <c r="B98" s="108"/>
      <c r="C98" s="108"/>
      <c r="D98" s="108"/>
      <c r="E98" s="109" t="s">
        <v>28</v>
      </c>
      <c r="F98" s="88">
        <f t="shared" ref="F98:J98" si="64">COUNT(F76:F95)</f>
        <v>20</v>
      </c>
      <c r="G98" s="88">
        <f t="shared" si="64"/>
        <v>20</v>
      </c>
      <c r="H98" s="88">
        <f t="shared" si="64"/>
        <v>20</v>
      </c>
      <c r="I98" s="88">
        <f t="shared" si="64"/>
        <v>20</v>
      </c>
      <c r="J98" s="88">
        <f t="shared" si="64"/>
        <v>20</v>
      </c>
      <c r="K98" s="17"/>
      <c r="L98" s="17"/>
      <c r="M98" s="37"/>
      <c r="N98" s="100"/>
      <c r="O98" s="108"/>
      <c r="P98" s="108"/>
      <c r="Q98" s="299"/>
      <c r="R98" s="25" t="s">
        <v>28</v>
      </c>
      <c r="S98" s="88">
        <f t="shared" ref="S98:W98" si="65">COUNT(S76:S95)</f>
        <v>20</v>
      </c>
      <c r="T98" s="88">
        <f t="shared" si="65"/>
        <v>20</v>
      </c>
      <c r="U98" s="88">
        <f t="shared" si="65"/>
        <v>20</v>
      </c>
      <c r="V98" s="88">
        <f t="shared" si="65"/>
        <v>20</v>
      </c>
      <c r="W98" s="88">
        <f t="shared" si="65"/>
        <v>20</v>
      </c>
      <c r="X98" s="19"/>
      <c r="Y98" s="19"/>
      <c r="Z98" s="19"/>
      <c r="AA98" s="107"/>
      <c r="AB98" s="34"/>
      <c r="AC98" s="2"/>
    </row>
    <row r="99" spans="1:29" ht="15" customHeight="1" x14ac:dyDescent="0.2">
      <c r="A99" s="100"/>
      <c r="B99" s="108"/>
      <c r="C99" s="19"/>
      <c r="D99" s="19"/>
      <c r="E99" s="19"/>
      <c r="F99" s="19"/>
      <c r="G99" s="17"/>
      <c r="H99" s="17"/>
      <c r="I99" s="17"/>
      <c r="J99" s="17"/>
      <c r="K99" s="17"/>
      <c r="L99" s="17"/>
      <c r="M99" s="37"/>
      <c r="N99" s="100"/>
      <c r="O99" s="108"/>
      <c r="P99" s="108"/>
      <c r="Q99" s="304"/>
      <c r="R99" s="301" t="s">
        <v>160</v>
      </c>
      <c r="S99" s="89">
        <f t="shared" ref="S99:W100" si="66">100*EXP(S96/100)-100</f>
        <v>0</v>
      </c>
      <c r="T99" s="89">
        <f t="shared" ref="T99:V99" si="67">100*EXP(T96/100)-100</f>
        <v>0</v>
      </c>
      <c r="U99" s="89">
        <f t="shared" si="67"/>
        <v>2.6530625281165214</v>
      </c>
      <c r="V99" s="89">
        <f t="shared" si="67"/>
        <v>1.6071373967063494</v>
      </c>
      <c r="W99" s="89">
        <f t="shared" si="66"/>
        <v>1.2623118538634941</v>
      </c>
      <c r="X99" s="101"/>
      <c r="Y99" s="19"/>
      <c r="Z99" s="19"/>
      <c r="AA99" s="107"/>
      <c r="AB99" s="34"/>
      <c r="AC99" s="2"/>
    </row>
    <row r="100" spans="1:29" x14ac:dyDescent="0.2">
      <c r="A100" s="100"/>
      <c r="B100" s="118"/>
      <c r="C100" s="19"/>
      <c r="D100" s="19"/>
      <c r="E100" s="19"/>
      <c r="F100" s="19"/>
      <c r="G100" s="17"/>
      <c r="H100" s="17"/>
      <c r="I100" s="17"/>
      <c r="J100" s="17"/>
      <c r="K100" s="17"/>
      <c r="L100" s="17"/>
      <c r="M100" s="37"/>
      <c r="N100" s="100"/>
      <c r="O100" s="108"/>
      <c r="P100" s="108"/>
      <c r="Q100" s="305"/>
      <c r="R100" s="302" t="s">
        <v>6</v>
      </c>
      <c r="S100" s="92">
        <f t="shared" si="66"/>
        <v>0</v>
      </c>
      <c r="T100" s="92">
        <f t="shared" ref="T100:V100" si="68">100*EXP(T97/100)-100</f>
        <v>0</v>
      </c>
      <c r="U100" s="92">
        <f t="shared" si="68"/>
        <v>2.0864803278707029</v>
      </c>
      <c r="V100" s="92">
        <f t="shared" si="68"/>
        <v>3.1558664290250533</v>
      </c>
      <c r="W100" s="92">
        <f t="shared" si="66"/>
        <v>2.8718392376712956</v>
      </c>
      <c r="X100" s="101"/>
      <c r="Y100" s="19"/>
      <c r="Z100" s="19"/>
      <c r="AA100" s="107"/>
      <c r="AB100" s="34"/>
      <c r="AC100" s="2"/>
    </row>
    <row r="101" spans="1:29" x14ac:dyDescent="0.2">
      <c r="A101" s="100"/>
      <c r="B101" s="19"/>
      <c r="C101" s="19"/>
      <c r="D101" s="19"/>
      <c r="E101" s="19"/>
      <c r="F101" s="19"/>
      <c r="G101" s="19"/>
      <c r="H101" s="19"/>
      <c r="I101" s="19"/>
      <c r="J101" s="19"/>
      <c r="K101" s="19"/>
      <c r="L101" s="19"/>
      <c r="M101" s="19"/>
      <c r="N101" s="100"/>
      <c r="O101" s="108"/>
      <c r="P101" s="108"/>
      <c r="Q101" s="306"/>
      <c r="R101" s="301" t="s">
        <v>161</v>
      </c>
      <c r="S101" s="83">
        <f t="shared" ref="S101:W102" si="69">EXP(S96/100)</f>
        <v>1</v>
      </c>
      <c r="T101" s="83">
        <f t="shared" ref="T101:V101" si="70">EXP(T96/100)</f>
        <v>1</v>
      </c>
      <c r="U101" s="83">
        <f t="shared" si="70"/>
        <v>1.0265306252811652</v>
      </c>
      <c r="V101" s="83">
        <f t="shared" si="70"/>
        <v>1.0160713739670635</v>
      </c>
      <c r="W101" s="83">
        <f t="shared" si="69"/>
        <v>1.012623118538635</v>
      </c>
      <c r="X101" s="101"/>
      <c r="Y101" s="19"/>
      <c r="Z101" s="19"/>
      <c r="AA101" s="107"/>
      <c r="AB101" s="34"/>
    </row>
    <row r="102" spans="1:29" x14ac:dyDescent="0.2">
      <c r="A102" s="100"/>
      <c r="B102" s="19"/>
      <c r="C102" s="19"/>
      <c r="D102" s="19"/>
      <c r="E102" s="19"/>
      <c r="F102" s="19"/>
      <c r="G102" s="19"/>
      <c r="H102" s="19"/>
      <c r="I102" s="19"/>
      <c r="J102" s="19"/>
      <c r="K102" s="19"/>
      <c r="L102" s="19"/>
      <c r="M102" s="19"/>
      <c r="N102" s="100"/>
      <c r="O102" s="108"/>
      <c r="P102" s="108"/>
      <c r="Q102" s="305"/>
      <c r="R102" s="302" t="s">
        <v>7</v>
      </c>
      <c r="S102" s="86">
        <f t="shared" si="69"/>
        <v>1</v>
      </c>
      <c r="T102" s="86">
        <f t="shared" ref="T102:V102" si="71">EXP(T97/100)</f>
        <v>1</v>
      </c>
      <c r="U102" s="86">
        <f t="shared" si="71"/>
        <v>1.0208648032787071</v>
      </c>
      <c r="V102" s="86">
        <f t="shared" si="71"/>
        <v>1.0315586642902506</v>
      </c>
      <c r="W102" s="86">
        <f t="shared" si="69"/>
        <v>1.0287183923767129</v>
      </c>
      <c r="X102" s="101"/>
      <c r="Y102" s="19"/>
      <c r="Z102" s="19"/>
      <c r="AA102" s="107"/>
      <c r="AB102" s="34"/>
    </row>
  </sheetData>
  <mergeCells count="4">
    <mergeCell ref="B44:C45"/>
    <mergeCell ref="O44:P45"/>
    <mergeCell ref="B12:F12"/>
    <mergeCell ref="B13:F40"/>
  </mergeCells>
  <pageMargins left="0.75" right="0.75" top="1" bottom="1" header="0.5" footer="0.5"/>
  <pageSetup paperSize="9"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Time-series deltas</vt:lpstr>
    </vt:vector>
  </TitlesOfParts>
  <Company>A New View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Analysis of controlled trials</dc:title>
  <dc:creator>Will Hopkins</dc:creator>
  <cp:lastModifiedBy>Will</cp:lastModifiedBy>
  <dcterms:created xsi:type="dcterms:W3CDTF">2003-10-13T20:09:38Z</dcterms:created>
  <dcterms:modified xsi:type="dcterms:W3CDTF">2022-08-11T03:21:52Z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7b5bc8-4a79-44ba-b8ca-7bdfc58e533a_Enabled">
    <vt:lpwstr>true</vt:lpwstr>
  </property>
  <property fmtid="{D5CDD505-2E9C-101B-9397-08002B2CF9AE}" pid="3" name="MSIP_Label_6e7b5bc8-4a79-44ba-b8ca-7bdfc58e533a_SetDate">
    <vt:lpwstr>2020-10-13T20:23:57Z</vt:lpwstr>
  </property>
  <property fmtid="{D5CDD505-2E9C-101B-9397-08002B2CF9AE}" pid="4" name="MSIP_Label_6e7b5bc8-4a79-44ba-b8ca-7bdfc58e533a_Method">
    <vt:lpwstr>Privileged</vt:lpwstr>
  </property>
  <property fmtid="{D5CDD505-2E9C-101B-9397-08002B2CF9AE}" pid="5" name="MSIP_Label_6e7b5bc8-4a79-44ba-b8ca-7bdfc58e533a_Name">
    <vt:lpwstr>Public</vt:lpwstr>
  </property>
  <property fmtid="{D5CDD505-2E9C-101B-9397-08002B2CF9AE}" pid="6" name="MSIP_Label_6e7b5bc8-4a79-44ba-b8ca-7bdfc58e533a_SiteId">
    <vt:lpwstr>d51ba343-9258-4ea6-9907-426d8c84ec12</vt:lpwstr>
  </property>
  <property fmtid="{D5CDD505-2E9C-101B-9397-08002B2CF9AE}" pid="7" name="MSIP_Label_6e7b5bc8-4a79-44ba-b8ca-7bdfc58e533a_ActionId">
    <vt:lpwstr>9753d448-e909-4ea2-a6be-5b93ba03cb53</vt:lpwstr>
  </property>
  <property fmtid="{D5CDD505-2E9C-101B-9397-08002B2CF9AE}" pid="8" name="MSIP_Label_6e7b5bc8-4a79-44ba-b8ca-7bdfc58e533a_ContentBits">
    <vt:lpwstr>0</vt:lpwstr>
  </property>
</Properties>
</file>