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omments2.xml" ContentType="application/vnd.openxmlformats-officedocument.spreadsheetml.comment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WillsDocuments\sportsci\resource\stats\"/>
    </mc:Choice>
  </mc:AlternateContent>
  <bookViews>
    <workbookView xWindow="80940" yWindow="135" windowWidth="7260" windowHeight="5505"/>
  </bookViews>
  <sheets>
    <sheet name="Sheet1" sheetId="2" r:id="rId1"/>
    <sheet name="Time-series deltas" sheetId="3" r:id="rId2"/>
  </sheets>
  <calcPr calcId="162913"/>
</workbook>
</file>

<file path=xl/calcChain.xml><?xml version="1.0" encoding="utf-8"?>
<calcChain xmlns="http://schemas.openxmlformats.org/spreadsheetml/2006/main">
  <c r="AG107" i="2" l="1"/>
  <c r="AF107" i="2"/>
  <c r="AE107" i="2"/>
  <c r="AD107" i="2"/>
  <c r="AG74" i="2"/>
  <c r="AF74" i="2"/>
  <c r="AE74" i="2"/>
  <c r="AD74" i="2"/>
  <c r="P107" i="2"/>
  <c r="N107" i="2"/>
  <c r="P74" i="2"/>
  <c r="N74" i="2"/>
  <c r="S136" i="2" l="1"/>
  <c r="B136" i="2"/>
  <c r="M85" i="2"/>
  <c r="N85" i="2"/>
  <c r="M86" i="2"/>
  <c r="N86" i="2"/>
  <c r="M87" i="2"/>
  <c r="N87" i="2"/>
  <c r="M88" i="2"/>
  <c r="N88" i="2"/>
  <c r="M89" i="2"/>
  <c r="N89" i="2"/>
  <c r="M90" i="2"/>
  <c r="N90" i="2"/>
  <c r="M91" i="2"/>
  <c r="N91" i="2"/>
  <c r="M92" i="2"/>
  <c r="N92" i="2"/>
  <c r="M93" i="2"/>
  <c r="N93" i="2"/>
  <c r="M94" i="2"/>
  <c r="N94" i="2"/>
  <c r="M95" i="2"/>
  <c r="N95" i="2"/>
  <c r="M96" i="2"/>
  <c r="N96" i="2"/>
  <c r="M97" i="2"/>
  <c r="N97" i="2"/>
  <c r="M98" i="2"/>
  <c r="N98" i="2"/>
  <c r="M99" i="2"/>
  <c r="N99" i="2"/>
  <c r="M100" i="2"/>
  <c r="N100" i="2"/>
  <c r="M101" i="2"/>
  <c r="N101" i="2"/>
  <c r="M102" i="2"/>
  <c r="N102" i="2"/>
  <c r="M103" i="2"/>
  <c r="N103" i="2"/>
  <c r="M104" i="2"/>
  <c r="N104" i="2"/>
  <c r="N106"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N73" i="2"/>
  <c r="N223" i="2"/>
  <c r="N227" i="2"/>
  <c r="N229" i="2" s="1"/>
  <c r="N75" i="2"/>
  <c r="N108" i="2"/>
  <c r="F44" i="2"/>
  <c r="M106" i="2"/>
  <c r="M73" i="2"/>
  <c r="M74" i="2" s="1"/>
  <c r="M227" i="2"/>
  <c r="M75" i="2"/>
  <c r="M242" i="2" s="1"/>
  <c r="M108" i="2"/>
  <c r="U85" i="2"/>
  <c r="U86" i="2"/>
  <c r="U87" i="2"/>
  <c r="U88" i="2"/>
  <c r="W85" i="2"/>
  <c r="X85" i="2"/>
  <c r="Y85" i="2"/>
  <c r="Z85" i="2"/>
  <c r="W50" i="2"/>
  <c r="W48" i="2"/>
  <c r="X50" i="2"/>
  <c r="X48" i="2"/>
  <c r="Y50" i="2"/>
  <c r="Y48" i="2"/>
  <c r="Z50" i="2"/>
  <c r="Z48" i="2"/>
  <c r="AA50" i="2"/>
  <c r="AA48" i="2"/>
  <c r="AA85" i="2"/>
  <c r="V85" i="2"/>
  <c r="W86" i="2"/>
  <c r="X86" i="2"/>
  <c r="Y86" i="2"/>
  <c r="Z86" i="2"/>
  <c r="AA86" i="2"/>
  <c r="V86" i="2"/>
  <c r="W87" i="2"/>
  <c r="X87" i="2"/>
  <c r="Y87" i="2"/>
  <c r="Z87" i="2"/>
  <c r="AA87" i="2"/>
  <c r="V87" i="2"/>
  <c r="W88" i="2"/>
  <c r="X88" i="2"/>
  <c r="Y88" i="2"/>
  <c r="Z88" i="2"/>
  <c r="AA88" i="2"/>
  <c r="V88" i="2"/>
  <c r="U89" i="2"/>
  <c r="W89" i="2"/>
  <c r="X89" i="2"/>
  <c r="Y89" i="2"/>
  <c r="Z89" i="2"/>
  <c r="AA89" i="2"/>
  <c r="V89" i="2"/>
  <c r="U90" i="2"/>
  <c r="W90" i="2"/>
  <c r="X90" i="2"/>
  <c r="Y90" i="2"/>
  <c r="Z90" i="2"/>
  <c r="AA90" i="2"/>
  <c r="V90" i="2"/>
  <c r="U91" i="2"/>
  <c r="W91" i="2"/>
  <c r="X91" i="2"/>
  <c r="Y91" i="2"/>
  <c r="Z91" i="2"/>
  <c r="AA91" i="2"/>
  <c r="V91" i="2"/>
  <c r="U92" i="2"/>
  <c r="W92" i="2"/>
  <c r="X92" i="2"/>
  <c r="Y92" i="2"/>
  <c r="Z92" i="2"/>
  <c r="AA92" i="2"/>
  <c r="V92" i="2"/>
  <c r="U93" i="2"/>
  <c r="W93" i="2"/>
  <c r="X93" i="2"/>
  <c r="Y93" i="2"/>
  <c r="Z93" i="2"/>
  <c r="AA93" i="2"/>
  <c r="V93" i="2"/>
  <c r="U94" i="2"/>
  <c r="W94" i="2"/>
  <c r="X94" i="2"/>
  <c r="Y94" i="2"/>
  <c r="Z94" i="2"/>
  <c r="AA94" i="2"/>
  <c r="V94" i="2"/>
  <c r="U95" i="2"/>
  <c r="W95" i="2"/>
  <c r="X95" i="2"/>
  <c r="Y95" i="2"/>
  <c r="Z95" i="2"/>
  <c r="AA95" i="2"/>
  <c r="V95" i="2"/>
  <c r="U96" i="2"/>
  <c r="W96" i="2"/>
  <c r="X96" i="2"/>
  <c r="Y96" i="2"/>
  <c r="Z96" i="2"/>
  <c r="AA96" i="2"/>
  <c r="V96" i="2"/>
  <c r="U97" i="2"/>
  <c r="W97" i="2"/>
  <c r="X97" i="2"/>
  <c r="Y97" i="2"/>
  <c r="Z97" i="2"/>
  <c r="AA97" i="2"/>
  <c r="V97" i="2"/>
  <c r="U98" i="2"/>
  <c r="W98" i="2"/>
  <c r="X98" i="2"/>
  <c r="Y98" i="2"/>
  <c r="Z98" i="2"/>
  <c r="AA98" i="2"/>
  <c r="V98" i="2"/>
  <c r="U99" i="2"/>
  <c r="W99" i="2"/>
  <c r="X99" i="2"/>
  <c r="Y99" i="2"/>
  <c r="Z99" i="2"/>
  <c r="AA99" i="2"/>
  <c r="V99" i="2"/>
  <c r="U100" i="2"/>
  <c r="W100" i="2"/>
  <c r="X100" i="2"/>
  <c r="Y100" i="2"/>
  <c r="Z100" i="2"/>
  <c r="AA100" i="2"/>
  <c r="V100" i="2"/>
  <c r="U101" i="2"/>
  <c r="W101" i="2"/>
  <c r="X101" i="2"/>
  <c r="Y101" i="2"/>
  <c r="Z101" i="2"/>
  <c r="AA101" i="2"/>
  <c r="V101" i="2"/>
  <c r="U102" i="2"/>
  <c r="W102" i="2"/>
  <c r="X102" i="2"/>
  <c r="Y102" i="2"/>
  <c r="Z102" i="2"/>
  <c r="AA102" i="2"/>
  <c r="V102" i="2"/>
  <c r="U103" i="2"/>
  <c r="W103" i="2"/>
  <c r="X103" i="2"/>
  <c r="Y103" i="2"/>
  <c r="Z103" i="2"/>
  <c r="AA103" i="2"/>
  <c r="V103" i="2"/>
  <c r="U104" i="2"/>
  <c r="W104" i="2"/>
  <c r="X104" i="2"/>
  <c r="Y104" i="2"/>
  <c r="Z104" i="2"/>
  <c r="AA104" i="2"/>
  <c r="V104" i="2"/>
  <c r="AG47" i="2"/>
  <c r="AF47" i="2"/>
  <c r="AE203" i="2"/>
  <c r="AE272" i="2" s="1"/>
  <c r="AD203" i="2"/>
  <c r="AD272" i="2" s="1"/>
  <c r="AG177" i="2"/>
  <c r="AF177" i="2"/>
  <c r="AE177" i="2"/>
  <c r="AD177" i="2"/>
  <c r="AG151" i="2"/>
  <c r="AF151" i="2"/>
  <c r="AE151" i="2"/>
  <c r="AD151" i="2"/>
  <c r="P47" i="2"/>
  <c r="O203" i="2"/>
  <c r="O47" i="2"/>
  <c r="N105" i="2"/>
  <c r="N72" i="2"/>
  <c r="N137" i="2"/>
  <c r="N147" i="2"/>
  <c r="M105" i="2"/>
  <c r="M72" i="2"/>
  <c r="M76" i="2" s="1"/>
  <c r="N151" i="2"/>
  <c r="N139" i="2"/>
  <c r="N138" i="2"/>
  <c r="N146" i="2" s="1"/>
  <c r="O151" i="2"/>
  <c r="P151" i="2"/>
  <c r="M151" i="2"/>
  <c r="F45" i="2"/>
  <c r="F46" i="2"/>
  <c r="F47" i="2"/>
  <c r="AG266" i="2"/>
  <c r="AF266" i="2"/>
  <c r="AE266" i="2"/>
  <c r="AD266" i="2"/>
  <c r="AG241" i="2"/>
  <c r="AF241" i="2"/>
  <c r="AE241" i="2"/>
  <c r="AD241" i="2"/>
  <c r="P241" i="2"/>
  <c r="O241" i="2"/>
  <c r="N241" i="2"/>
  <c r="M241" i="2"/>
  <c r="AG222" i="2"/>
  <c r="AF222" i="2"/>
  <c r="AE222" i="2"/>
  <c r="AD222" i="2"/>
  <c r="P222" i="2"/>
  <c r="O222" i="2"/>
  <c r="N222" i="2"/>
  <c r="M222" i="2"/>
  <c r="AG197" i="2"/>
  <c r="AF197" i="2"/>
  <c r="AE197" i="2"/>
  <c r="AD197" i="2"/>
  <c r="P197" i="2"/>
  <c r="O197" i="2"/>
  <c r="N197" i="2"/>
  <c r="M197" i="2"/>
  <c r="AG171" i="2"/>
  <c r="AF171" i="2"/>
  <c r="AE171" i="2"/>
  <c r="AD171" i="2"/>
  <c r="AG145" i="2"/>
  <c r="AF145" i="2"/>
  <c r="AE145" i="2"/>
  <c r="AD145" i="2"/>
  <c r="P145" i="2"/>
  <c r="O145" i="2"/>
  <c r="N145" i="2"/>
  <c r="M145" i="2"/>
  <c r="AB235" i="2"/>
  <c r="K235" i="2"/>
  <c r="AB211" i="2"/>
  <c r="K211" i="2"/>
  <c r="AB185" i="2"/>
  <c r="AB159" i="2"/>
  <c r="K159" i="2"/>
  <c r="W130" i="2"/>
  <c r="AA52" i="2"/>
  <c r="AA53" i="2"/>
  <c r="AA54" i="2"/>
  <c r="AA55" i="2"/>
  <c r="AA56" i="2"/>
  <c r="AA57" i="2"/>
  <c r="AA58" i="2"/>
  <c r="AA59" i="2"/>
  <c r="AA60" i="2"/>
  <c r="AA61" i="2"/>
  <c r="AA62" i="2"/>
  <c r="AA63" i="2"/>
  <c r="AA64" i="2"/>
  <c r="AA65" i="2"/>
  <c r="AA66" i="2"/>
  <c r="AA67" i="2"/>
  <c r="AA68" i="2"/>
  <c r="AA69" i="2"/>
  <c r="AA70" i="2"/>
  <c r="AA71" i="2"/>
  <c r="AA73" i="2"/>
  <c r="AA106" i="2"/>
  <c r="AA75" i="2"/>
  <c r="AA108" i="2"/>
  <c r="AA120" i="2"/>
  <c r="Z52" i="2"/>
  <c r="Z53" i="2"/>
  <c r="Z54" i="2"/>
  <c r="Z55" i="2"/>
  <c r="Z56" i="2"/>
  <c r="Z57" i="2"/>
  <c r="Z58" i="2"/>
  <c r="Z59" i="2"/>
  <c r="Z60" i="2"/>
  <c r="Z61" i="2"/>
  <c r="Z62" i="2"/>
  <c r="Z63" i="2"/>
  <c r="Z64" i="2"/>
  <c r="Z65" i="2"/>
  <c r="Z66" i="2"/>
  <c r="Z67" i="2"/>
  <c r="Z68" i="2"/>
  <c r="Z69" i="2"/>
  <c r="Z70" i="2"/>
  <c r="Z71" i="2"/>
  <c r="Z73" i="2"/>
  <c r="Z106" i="2"/>
  <c r="Z75" i="2"/>
  <c r="Z108" i="2"/>
  <c r="Z120" i="2"/>
  <c r="Y52" i="2"/>
  <c r="Y53" i="2"/>
  <c r="Y54" i="2"/>
  <c r="Y55" i="2"/>
  <c r="Y56" i="2"/>
  <c r="Y57" i="2"/>
  <c r="Y58" i="2"/>
  <c r="Y59" i="2"/>
  <c r="Y60" i="2"/>
  <c r="Y61" i="2"/>
  <c r="Y62" i="2"/>
  <c r="Y63" i="2"/>
  <c r="Y64" i="2"/>
  <c r="Y65" i="2"/>
  <c r="Y66" i="2"/>
  <c r="Y67" i="2"/>
  <c r="Y68" i="2"/>
  <c r="Y69" i="2"/>
  <c r="Y70" i="2"/>
  <c r="Y71" i="2"/>
  <c r="Y73" i="2"/>
  <c r="Y106" i="2"/>
  <c r="Y75" i="2"/>
  <c r="Y108" i="2"/>
  <c r="Y120" i="2"/>
  <c r="X52" i="2"/>
  <c r="X53" i="2"/>
  <c r="X54" i="2"/>
  <c r="X55" i="2"/>
  <c r="X56" i="2"/>
  <c r="X57" i="2"/>
  <c r="X58" i="2"/>
  <c r="X59" i="2"/>
  <c r="X60" i="2"/>
  <c r="X61" i="2"/>
  <c r="X62" i="2"/>
  <c r="X63" i="2"/>
  <c r="X64" i="2"/>
  <c r="X65" i="2"/>
  <c r="X66" i="2"/>
  <c r="X67" i="2"/>
  <c r="X68" i="2"/>
  <c r="X69" i="2"/>
  <c r="X70" i="2"/>
  <c r="X71" i="2"/>
  <c r="X73" i="2"/>
  <c r="X106" i="2"/>
  <c r="X75" i="2"/>
  <c r="X108" i="2"/>
  <c r="X120" i="2"/>
  <c r="W52" i="2"/>
  <c r="W53" i="2"/>
  <c r="W54" i="2"/>
  <c r="W55" i="2"/>
  <c r="W56" i="2"/>
  <c r="W57" i="2"/>
  <c r="W58" i="2"/>
  <c r="W59" i="2"/>
  <c r="W60" i="2"/>
  <c r="W61" i="2"/>
  <c r="W62" i="2"/>
  <c r="W63" i="2"/>
  <c r="W64" i="2"/>
  <c r="W65" i="2"/>
  <c r="W66" i="2"/>
  <c r="W67" i="2"/>
  <c r="W68" i="2"/>
  <c r="W69" i="2"/>
  <c r="W70" i="2"/>
  <c r="W71" i="2"/>
  <c r="W73" i="2"/>
  <c r="W106" i="2"/>
  <c r="W75" i="2"/>
  <c r="W108" i="2"/>
  <c r="W120" i="2"/>
  <c r="V52" i="2"/>
  <c r="V53" i="2"/>
  <c r="V54" i="2"/>
  <c r="V55" i="2"/>
  <c r="V56" i="2"/>
  <c r="V57" i="2"/>
  <c r="V58" i="2"/>
  <c r="V59" i="2"/>
  <c r="V60" i="2"/>
  <c r="V61" i="2"/>
  <c r="V62" i="2"/>
  <c r="V63" i="2"/>
  <c r="V64" i="2"/>
  <c r="V65" i="2"/>
  <c r="V66" i="2"/>
  <c r="V67" i="2"/>
  <c r="V68" i="2"/>
  <c r="V69" i="2"/>
  <c r="V70" i="2"/>
  <c r="V71" i="2"/>
  <c r="V73" i="2"/>
  <c r="V106" i="2"/>
  <c r="V75" i="2"/>
  <c r="V108" i="2"/>
  <c r="V120" i="2"/>
  <c r="U52" i="2"/>
  <c r="U53" i="2"/>
  <c r="U54" i="2"/>
  <c r="U55" i="2"/>
  <c r="U56" i="2"/>
  <c r="U57" i="2"/>
  <c r="U58" i="2"/>
  <c r="U59" i="2"/>
  <c r="U60" i="2"/>
  <c r="U61" i="2"/>
  <c r="U62" i="2"/>
  <c r="U63" i="2"/>
  <c r="U64" i="2"/>
  <c r="U65" i="2"/>
  <c r="U66" i="2"/>
  <c r="U67" i="2"/>
  <c r="U68" i="2"/>
  <c r="U69" i="2"/>
  <c r="U70" i="2"/>
  <c r="U71" i="2"/>
  <c r="U73" i="2"/>
  <c r="U106" i="2"/>
  <c r="U75" i="2"/>
  <c r="U108" i="2"/>
  <c r="U120" i="2"/>
  <c r="V119" i="2"/>
  <c r="V215" i="2"/>
  <c r="U119" i="2"/>
  <c r="U215" i="2"/>
  <c r="D73" i="2"/>
  <c r="D76" i="2"/>
  <c r="D75" i="2"/>
  <c r="D106" i="2"/>
  <c r="D109" i="2"/>
  <c r="D108" i="2"/>
  <c r="D119" i="2"/>
  <c r="D120" i="2"/>
  <c r="D215" i="2"/>
  <c r="H73" i="2"/>
  <c r="H106" i="2"/>
  <c r="H76" i="2"/>
  <c r="H75" i="2"/>
  <c r="H109" i="2"/>
  <c r="H108" i="2"/>
  <c r="H120" i="2"/>
  <c r="I73" i="2"/>
  <c r="I106" i="2"/>
  <c r="I76" i="2"/>
  <c r="I75" i="2"/>
  <c r="I109" i="2"/>
  <c r="I108" i="2"/>
  <c r="I120" i="2"/>
  <c r="J73" i="2"/>
  <c r="J106" i="2"/>
  <c r="J76" i="2"/>
  <c r="J75" i="2"/>
  <c r="J109" i="2"/>
  <c r="J108" i="2"/>
  <c r="J120" i="2"/>
  <c r="G73" i="2"/>
  <c r="G106" i="2"/>
  <c r="G76" i="2"/>
  <c r="G75" i="2"/>
  <c r="G109" i="2"/>
  <c r="G108" i="2"/>
  <c r="G120" i="2"/>
  <c r="F73" i="2"/>
  <c r="F106" i="2"/>
  <c r="F76" i="2"/>
  <c r="F75" i="2"/>
  <c r="F109" i="2"/>
  <c r="F108" i="2"/>
  <c r="F120" i="2"/>
  <c r="U47" i="2"/>
  <c r="U51" i="2"/>
  <c r="U144" i="2"/>
  <c r="V164" i="2"/>
  <c r="U72" i="2"/>
  <c r="U76" i="2"/>
  <c r="U105" i="2"/>
  <c r="U109" i="2"/>
  <c r="U118" i="2"/>
  <c r="D72" i="2"/>
  <c r="D105" i="2"/>
  <c r="D118" i="2"/>
  <c r="U164" i="2"/>
  <c r="V190" i="2"/>
  <c r="V105" i="2"/>
  <c r="V72" i="2"/>
  <c r="V173" i="2"/>
  <c r="V147" i="2"/>
  <c r="U147" i="2"/>
  <c r="U170" i="2"/>
  <c r="U216" i="2"/>
  <c r="V76" i="2"/>
  <c r="V109" i="2"/>
  <c r="V216" i="2"/>
  <c r="U196" i="2"/>
  <c r="V199" i="2"/>
  <c r="U199" i="2"/>
  <c r="U190" i="2"/>
  <c r="U173" i="2"/>
  <c r="U122" i="2"/>
  <c r="V118" i="2"/>
  <c r="D147" i="2"/>
  <c r="F72" i="2"/>
  <c r="F105" i="2"/>
  <c r="F118" i="2"/>
  <c r="G72" i="2"/>
  <c r="G105" i="2"/>
  <c r="G118" i="2"/>
  <c r="H72" i="2"/>
  <c r="H105" i="2"/>
  <c r="H118" i="2"/>
  <c r="I72" i="2"/>
  <c r="I105" i="2"/>
  <c r="I118" i="2"/>
  <c r="J72" i="2"/>
  <c r="J105" i="2"/>
  <c r="J118" i="2"/>
  <c r="F117" i="2"/>
  <c r="G117" i="2"/>
  <c r="H117" i="2"/>
  <c r="I117" i="2"/>
  <c r="J117" i="2"/>
  <c r="F119" i="2"/>
  <c r="G119" i="2"/>
  <c r="H119" i="2"/>
  <c r="I119" i="2"/>
  <c r="J119" i="2"/>
  <c r="AD45" i="2"/>
  <c r="AF44" i="2"/>
  <c r="AE45" i="2"/>
  <c r="AG44" i="2"/>
  <c r="AD52" i="2"/>
  <c r="AD53" i="2"/>
  <c r="AD54" i="2"/>
  <c r="AD55" i="2"/>
  <c r="AD56" i="2"/>
  <c r="AD57" i="2"/>
  <c r="AD58" i="2"/>
  <c r="AD59" i="2"/>
  <c r="AD60" i="2"/>
  <c r="AD61" i="2"/>
  <c r="AD62" i="2"/>
  <c r="AD63" i="2"/>
  <c r="AD64" i="2"/>
  <c r="AD65" i="2"/>
  <c r="AD66" i="2"/>
  <c r="AD67" i="2"/>
  <c r="AD68" i="2"/>
  <c r="AD69" i="2"/>
  <c r="AD70" i="2"/>
  <c r="AD71" i="2"/>
  <c r="T80" i="2" a="1"/>
  <c r="V80" i="2"/>
  <c r="U80" i="2"/>
  <c r="T80" i="2"/>
  <c r="AG72" i="2"/>
  <c r="W129" i="2"/>
  <c r="U82" i="2"/>
  <c r="U81" i="2"/>
  <c r="T81" i="2"/>
  <c r="W76" i="2"/>
  <c r="W82" i="2"/>
  <c r="W109" i="2"/>
  <c r="AG52" i="2"/>
  <c r="AG53" i="2"/>
  <c r="AG54" i="2"/>
  <c r="AG55" i="2"/>
  <c r="AG56" i="2"/>
  <c r="AG57" i="2"/>
  <c r="AG58" i="2"/>
  <c r="AG59" i="2"/>
  <c r="AG60" i="2"/>
  <c r="AG61" i="2"/>
  <c r="AG62" i="2"/>
  <c r="AG63" i="2"/>
  <c r="AG64" i="2"/>
  <c r="AG65" i="2"/>
  <c r="AG66" i="2"/>
  <c r="AG67" i="2"/>
  <c r="AG68" i="2"/>
  <c r="AG69" i="2"/>
  <c r="AG70" i="2"/>
  <c r="AG71" i="2"/>
  <c r="AG75" i="2"/>
  <c r="D39" i="2"/>
  <c r="N203" i="2" s="1"/>
  <c r="AG204" i="2"/>
  <c r="AF72" i="2"/>
  <c r="AF52" i="2"/>
  <c r="AF53" i="2"/>
  <c r="AF54" i="2"/>
  <c r="AF55" i="2"/>
  <c r="AF56" i="2"/>
  <c r="AF57" i="2"/>
  <c r="AF58" i="2"/>
  <c r="AF59" i="2"/>
  <c r="AF60" i="2"/>
  <c r="AF61" i="2"/>
  <c r="AF62" i="2"/>
  <c r="AF63" i="2"/>
  <c r="AF64" i="2"/>
  <c r="AF65" i="2"/>
  <c r="AF66" i="2"/>
  <c r="AF67" i="2"/>
  <c r="AF68" i="2"/>
  <c r="AF69" i="2"/>
  <c r="AF70" i="2"/>
  <c r="AF71" i="2"/>
  <c r="AF75" i="2"/>
  <c r="AF204" i="2"/>
  <c r="AF273" i="2" s="1"/>
  <c r="AE204" i="2"/>
  <c r="AE52" i="2"/>
  <c r="AE53" i="2"/>
  <c r="AE54" i="2"/>
  <c r="AE55" i="2"/>
  <c r="AE56" i="2"/>
  <c r="AE57" i="2"/>
  <c r="AE58" i="2"/>
  <c r="AE59" i="2"/>
  <c r="AE60" i="2"/>
  <c r="AE61" i="2"/>
  <c r="AE62" i="2"/>
  <c r="AE63" i="2"/>
  <c r="AE64" i="2"/>
  <c r="AE65" i="2"/>
  <c r="AE66" i="2"/>
  <c r="AE67" i="2"/>
  <c r="AE68" i="2"/>
  <c r="AE69" i="2"/>
  <c r="AE70" i="2"/>
  <c r="AE71" i="2"/>
  <c r="AE72" i="2"/>
  <c r="AD72" i="2"/>
  <c r="AD73" i="2"/>
  <c r="AD75" i="2"/>
  <c r="AD204" i="2"/>
  <c r="AD273" i="2" s="1"/>
  <c r="AE73" i="2"/>
  <c r="M45" i="2"/>
  <c r="O44" i="2"/>
  <c r="AB214" i="2"/>
  <c r="K214" i="2"/>
  <c r="AB212" i="2"/>
  <c r="K212" i="2"/>
  <c r="AB188" i="2"/>
  <c r="AB186" i="2"/>
  <c r="AB162" i="2"/>
  <c r="K162" i="2"/>
  <c r="AB160" i="2"/>
  <c r="K160" i="2"/>
  <c r="AH168" i="2"/>
  <c r="AH154" i="2"/>
  <c r="AH108" i="2"/>
  <c r="AH131" i="2"/>
  <c r="AH132" i="2"/>
  <c r="AH169" i="2"/>
  <c r="AG122" i="2"/>
  <c r="AG123" i="2"/>
  <c r="AG129" i="2"/>
  <c r="AG128" i="2"/>
  <c r="AE122" i="2"/>
  <c r="AE123" i="2"/>
  <c r="AE129" i="2"/>
  <c r="AE128" i="2"/>
  <c r="AG50" i="2"/>
  <c r="AG84" i="2"/>
  <c r="AL84" i="2"/>
  <c r="AE50" i="2"/>
  <c r="AE84" i="2"/>
  <c r="AJ84" i="2"/>
  <c r="AF50" i="2"/>
  <c r="AF84" i="2"/>
  <c r="AK84" i="2"/>
  <c r="AD50" i="2"/>
  <c r="AD84" i="2"/>
  <c r="AI84" i="2"/>
  <c r="AI53" i="2"/>
  <c r="AJ53" i="2"/>
  <c r="AK53" i="2"/>
  <c r="AL53" i="2"/>
  <c r="AI54" i="2"/>
  <c r="AJ54" i="2"/>
  <c r="AK54" i="2"/>
  <c r="AL54" i="2"/>
  <c r="AI55" i="2"/>
  <c r="AJ55" i="2"/>
  <c r="AK55" i="2"/>
  <c r="AL55" i="2"/>
  <c r="AI56" i="2"/>
  <c r="AJ56" i="2"/>
  <c r="AK56" i="2"/>
  <c r="AL56" i="2"/>
  <c r="AI57" i="2"/>
  <c r="AJ57" i="2"/>
  <c r="AK57" i="2"/>
  <c r="AL57" i="2"/>
  <c r="AI58" i="2"/>
  <c r="AJ58" i="2"/>
  <c r="AK58" i="2"/>
  <c r="AL58" i="2"/>
  <c r="AI59" i="2"/>
  <c r="AJ59" i="2"/>
  <c r="AK59" i="2"/>
  <c r="AL59" i="2"/>
  <c r="AI60" i="2"/>
  <c r="AJ60" i="2"/>
  <c r="AK60" i="2"/>
  <c r="AL60" i="2"/>
  <c r="AI61" i="2"/>
  <c r="AJ61" i="2"/>
  <c r="AK61" i="2"/>
  <c r="AL61" i="2"/>
  <c r="AI62" i="2"/>
  <c r="AJ62" i="2"/>
  <c r="AK62" i="2"/>
  <c r="AL62" i="2"/>
  <c r="AI63" i="2"/>
  <c r="AJ63" i="2"/>
  <c r="AK63" i="2"/>
  <c r="AL63" i="2"/>
  <c r="AI64" i="2"/>
  <c r="AJ64" i="2"/>
  <c r="AK64" i="2"/>
  <c r="AL64" i="2"/>
  <c r="AI65" i="2"/>
  <c r="AJ65" i="2"/>
  <c r="AK65" i="2"/>
  <c r="AL65" i="2"/>
  <c r="AI66" i="2"/>
  <c r="AJ66" i="2"/>
  <c r="AK66" i="2"/>
  <c r="AL66" i="2"/>
  <c r="AI67" i="2"/>
  <c r="AJ67" i="2"/>
  <c r="AK67" i="2"/>
  <c r="AL67" i="2"/>
  <c r="AI68" i="2"/>
  <c r="AJ68" i="2"/>
  <c r="AK68" i="2"/>
  <c r="AL68" i="2"/>
  <c r="AI69" i="2"/>
  <c r="AJ69" i="2"/>
  <c r="AK69" i="2"/>
  <c r="AL69" i="2"/>
  <c r="AI70" i="2"/>
  <c r="AJ70" i="2"/>
  <c r="AK70" i="2"/>
  <c r="AL70" i="2"/>
  <c r="AI71" i="2"/>
  <c r="AJ71" i="2"/>
  <c r="AK71" i="2"/>
  <c r="AL71" i="2"/>
  <c r="AJ52" i="2"/>
  <c r="AK52" i="2"/>
  <c r="AL52" i="2"/>
  <c r="AI52" i="2"/>
  <c r="AJ50" i="2"/>
  <c r="AK50" i="2"/>
  <c r="AL50" i="2"/>
  <c r="AI50" i="2"/>
  <c r="AB50" i="2"/>
  <c r="K50" i="2"/>
  <c r="J74" i="2"/>
  <c r="J107" i="2"/>
  <c r="I74" i="2"/>
  <c r="I107" i="2"/>
  <c r="H74" i="2"/>
  <c r="H107" i="2"/>
  <c r="G74" i="2"/>
  <c r="G107" i="2"/>
  <c r="F74" i="2"/>
  <c r="F107" i="2"/>
  <c r="F48" i="2"/>
  <c r="H48" i="2"/>
  <c r="G48" i="2"/>
  <c r="I48" i="2"/>
  <c r="J48" i="2"/>
  <c r="D74" i="2"/>
  <c r="D107" i="2"/>
  <c r="AA72" i="2"/>
  <c r="AA105" i="2"/>
  <c r="AA74" i="2"/>
  <c r="AA107" i="2"/>
  <c r="Z72" i="2"/>
  <c r="Z105" i="2"/>
  <c r="Z74" i="2"/>
  <c r="Z107" i="2"/>
  <c r="Y72" i="2"/>
  <c r="Y105" i="2"/>
  <c r="Y74" i="2"/>
  <c r="Y107" i="2"/>
  <c r="X72" i="2"/>
  <c r="X105" i="2"/>
  <c r="X74" i="2"/>
  <c r="X107" i="2"/>
  <c r="W72" i="2"/>
  <c r="W105" i="2"/>
  <c r="W74" i="2"/>
  <c r="W107" i="2"/>
  <c r="V74" i="2"/>
  <c r="V107" i="2"/>
  <c r="AE75" i="2"/>
  <c r="AG73" i="2"/>
  <c r="AF73" i="2"/>
  <c r="V51" i="2"/>
  <c r="AG119" i="2"/>
  <c r="AF119" i="2"/>
  <c r="AE119" i="2"/>
  <c r="AD119" i="2"/>
  <c r="P119" i="2"/>
  <c r="O119" i="2"/>
  <c r="M119" i="2"/>
  <c r="N119" i="2"/>
  <c r="U123" i="2"/>
  <c r="U121" i="2"/>
  <c r="U112" i="2"/>
  <c r="U111" i="2"/>
  <c r="U110" i="2"/>
  <c r="U79" i="2"/>
  <c r="U78" i="2"/>
  <c r="U77" i="2"/>
  <c r="D36" i="2"/>
  <c r="AE242" i="2"/>
  <c r="AE259" i="2"/>
  <c r="AF242" i="2"/>
  <c r="AF259" i="2"/>
  <c r="AG242" i="2"/>
  <c r="AG259" i="2"/>
  <c r="AD242" i="2"/>
  <c r="AD259" i="2"/>
  <c r="AE221" i="2"/>
  <c r="AF221" i="2"/>
  <c r="AG221" i="2"/>
  <c r="AD221" i="2"/>
  <c r="AC237" i="2"/>
  <c r="AC236" i="2"/>
  <c r="L237" i="2"/>
  <c r="L236" i="2"/>
  <c r="N225" i="2"/>
  <c r="N224" i="2"/>
  <c r="N226" i="2"/>
  <c r="P50" i="2"/>
  <c r="P221" i="2"/>
  <c r="N50" i="2"/>
  <c r="N221" i="2"/>
  <c r="M43" i="2"/>
  <c r="M50" i="2"/>
  <c r="M84" i="2" s="1"/>
  <c r="M221" i="2"/>
  <c r="D38" i="2"/>
  <c r="V170" i="2"/>
  <c r="V196" i="2"/>
  <c r="D37" i="2"/>
  <c r="V144" i="2"/>
  <c r="AA119" i="2"/>
  <c r="Z119" i="2"/>
  <c r="Y119" i="2"/>
  <c r="X119" i="2"/>
  <c r="W119" i="2"/>
  <c r="AA118" i="2"/>
  <c r="Z118" i="2"/>
  <c r="Y118" i="2"/>
  <c r="X118" i="2"/>
  <c r="W118" i="2"/>
  <c r="AA76" i="2"/>
  <c r="AA109" i="2"/>
  <c r="Z76" i="2"/>
  <c r="Z109" i="2"/>
  <c r="Y76" i="2"/>
  <c r="Y109" i="2"/>
  <c r="X76" i="2"/>
  <c r="X109" i="2"/>
  <c r="G126" i="2"/>
  <c r="H126" i="2"/>
  <c r="I126" i="2"/>
  <c r="J126" i="2"/>
  <c r="F126" i="2"/>
  <c r="AA127" i="2"/>
  <c r="Z127" i="2"/>
  <c r="Y127" i="2"/>
  <c r="X127" i="2"/>
  <c r="W127" i="2"/>
  <c r="Y51" i="2"/>
  <c r="Z51" i="2"/>
  <c r="AA51" i="2"/>
  <c r="U43" i="3"/>
  <c r="T43" i="3"/>
  <c r="H46" i="3"/>
  <c r="H75" i="3"/>
  <c r="G46" i="3"/>
  <c r="T5" i="3"/>
  <c r="H45" i="3"/>
  <c r="G45" i="3"/>
  <c r="T45" i="3"/>
  <c r="H44" i="3"/>
  <c r="S3" i="3"/>
  <c r="U7" i="3"/>
  <c r="G44" i="3"/>
  <c r="T44" i="3"/>
  <c r="H43" i="3"/>
  <c r="G43" i="3"/>
  <c r="X51" i="2"/>
  <c r="Y49" i="2"/>
  <c r="X49" i="2"/>
  <c r="X36" i="2"/>
  <c r="X31" i="2"/>
  <c r="Y22" i="2"/>
  <c r="X22" i="2"/>
  <c r="Y17" i="2"/>
  <c r="X17" i="2"/>
  <c r="Y15" i="2"/>
  <c r="X15" i="2"/>
  <c r="H170" i="2"/>
  <c r="G170" i="2"/>
  <c r="Y126" i="2"/>
  <c r="X126" i="2"/>
  <c r="H125" i="2"/>
  <c r="G125" i="2"/>
  <c r="H128" i="2"/>
  <c r="X25" i="2"/>
  <c r="H84" i="2"/>
  <c r="G84" i="2"/>
  <c r="Y20" i="2"/>
  <c r="X19" i="2"/>
  <c r="Y18" i="2"/>
  <c r="X18" i="2"/>
  <c r="V43" i="3"/>
  <c r="I46" i="3"/>
  <c r="I45" i="3"/>
  <c r="I44" i="3"/>
  <c r="I43" i="3"/>
  <c r="Z29" i="2"/>
  <c r="Z49" i="2"/>
  <c r="Z31" i="2"/>
  <c r="Z22" i="2"/>
  <c r="Z17" i="2"/>
  <c r="Z15" i="2"/>
  <c r="I170" i="2"/>
  <c r="Z126" i="2"/>
  <c r="I125" i="2"/>
  <c r="Z25" i="2"/>
  <c r="Z23" i="2"/>
  <c r="I84" i="2"/>
  <c r="Z19" i="2"/>
  <c r="Z18" i="2"/>
  <c r="G128" i="2"/>
  <c r="I128" i="2"/>
  <c r="Z36" i="2"/>
  <c r="X29" i="2"/>
  <c r="X121" i="2"/>
  <c r="X84" i="2"/>
  <c r="Y29" i="2"/>
  <c r="X125" i="2"/>
  <c r="X20" i="2"/>
  <c r="V45" i="3"/>
  <c r="Z24" i="2"/>
  <c r="Y19" i="2"/>
  <c r="Y79" i="2"/>
  <c r="G75" i="3"/>
  <c r="U5" i="3"/>
  <c r="U44" i="3"/>
  <c r="U46" i="3"/>
  <c r="U45" i="3"/>
  <c r="Y78" i="2"/>
  <c r="Y25" i="2"/>
  <c r="Y36" i="2"/>
  <c r="Y31" i="2"/>
  <c r="Y24" i="2"/>
  <c r="X77" i="2"/>
  <c r="X32" i="2"/>
  <c r="X23" i="2"/>
  <c r="Y125" i="2"/>
  <c r="Y84" i="2"/>
  <c r="Y121" i="2"/>
  <c r="Y117" i="2"/>
  <c r="X24" i="2"/>
  <c r="X117" i="2"/>
  <c r="Z20" i="2"/>
  <c r="Y23" i="2"/>
  <c r="Y77" i="2"/>
  <c r="Y32" i="2"/>
  <c r="Z123" i="2"/>
  <c r="V44" i="3"/>
  <c r="Z117" i="2"/>
  <c r="Z125" i="2"/>
  <c r="Z84" i="2"/>
  <c r="Z121" i="2"/>
  <c r="Z77" i="2"/>
  <c r="Z32" i="2"/>
  <c r="V12" i="3"/>
  <c r="U19" i="3"/>
  <c r="T7" i="3"/>
  <c r="U12" i="3"/>
  <c r="U38" i="3"/>
  <c r="T12" i="3"/>
  <c r="Z122" i="2"/>
  <c r="Y33" i="2"/>
  <c r="Y34" i="2"/>
  <c r="X110" i="2"/>
  <c r="X37" i="2"/>
  <c r="Y110" i="2"/>
  <c r="Y37" i="2"/>
  <c r="Y128" i="2"/>
  <c r="Y122" i="2"/>
  <c r="Y123" i="2"/>
  <c r="X79" i="2"/>
  <c r="X34" i="2"/>
  <c r="X78" i="2"/>
  <c r="X111" i="2"/>
  <c r="X112" i="2"/>
  <c r="X123" i="2"/>
  <c r="X128" i="2"/>
  <c r="X122" i="2"/>
  <c r="Y112" i="2"/>
  <c r="Y111" i="2"/>
  <c r="Z128" i="2"/>
  <c r="V38" i="3"/>
  <c r="V33" i="3"/>
  <c r="V7" i="3"/>
  <c r="Z78" i="2"/>
  <c r="Z79" i="2"/>
  <c r="Z33" i="2"/>
  <c r="Z112" i="2"/>
  <c r="Z111" i="2"/>
  <c r="Z110" i="2"/>
  <c r="Z37" i="2"/>
  <c r="X33" i="2"/>
  <c r="Y38" i="2"/>
  <c r="Y39" i="2"/>
  <c r="X39" i="2"/>
  <c r="X38" i="2"/>
  <c r="Z34" i="2"/>
  <c r="Z38" i="2"/>
  <c r="Z39" i="2"/>
  <c r="B76" i="3"/>
  <c r="C76" i="3"/>
  <c r="C77" i="3"/>
  <c r="C78" i="3"/>
  <c r="P78" i="3"/>
  <c r="C79" i="3"/>
  <c r="C80" i="3"/>
  <c r="C81" i="3"/>
  <c r="C82" i="3"/>
  <c r="P82" i="3"/>
  <c r="C83" i="3"/>
  <c r="C84" i="3"/>
  <c r="C85" i="3"/>
  <c r="P85" i="3"/>
  <c r="C86" i="3"/>
  <c r="P86" i="3"/>
  <c r="C87" i="3"/>
  <c r="C88" i="3"/>
  <c r="C89" i="3"/>
  <c r="C90" i="3"/>
  <c r="P90" i="3"/>
  <c r="C91" i="3"/>
  <c r="C92" i="3"/>
  <c r="C93" i="3"/>
  <c r="C94" i="3"/>
  <c r="P94" i="3"/>
  <c r="C95" i="3"/>
  <c r="B46" i="3"/>
  <c r="C46" i="3"/>
  <c r="P46" i="3"/>
  <c r="B47" i="3"/>
  <c r="O47" i="3"/>
  <c r="R32" i="3"/>
  <c r="C47" i="3"/>
  <c r="C48" i="3"/>
  <c r="C49" i="3"/>
  <c r="P49" i="3"/>
  <c r="C50" i="3"/>
  <c r="P50" i="3"/>
  <c r="C51" i="3"/>
  <c r="C52" i="3"/>
  <c r="C53" i="3"/>
  <c r="C54" i="3"/>
  <c r="P54" i="3"/>
  <c r="C55" i="3"/>
  <c r="C56" i="3"/>
  <c r="C57" i="3"/>
  <c r="C58" i="3"/>
  <c r="P58" i="3"/>
  <c r="C59" i="3"/>
  <c r="C60" i="3"/>
  <c r="C61" i="3"/>
  <c r="C62" i="3"/>
  <c r="P62" i="3"/>
  <c r="C63" i="3"/>
  <c r="C64" i="3"/>
  <c r="C65" i="3"/>
  <c r="P65" i="3"/>
  <c r="C66" i="3"/>
  <c r="P66" i="3"/>
  <c r="D46" i="3"/>
  <c r="E46" i="3"/>
  <c r="F46" i="3"/>
  <c r="J46" i="3"/>
  <c r="J75" i="3"/>
  <c r="W43" i="3"/>
  <c r="S43" i="3"/>
  <c r="K52" i="2"/>
  <c r="J45" i="3"/>
  <c r="F45" i="3"/>
  <c r="J44" i="3"/>
  <c r="W44" i="3"/>
  <c r="W7" i="3"/>
  <c r="F44" i="3"/>
  <c r="S12" i="3"/>
  <c r="J43" i="3"/>
  <c r="F43" i="3"/>
  <c r="P95" i="3"/>
  <c r="P93" i="3"/>
  <c r="P92" i="3"/>
  <c r="P91" i="3"/>
  <c r="P89" i="3"/>
  <c r="P88" i="3"/>
  <c r="P87" i="3"/>
  <c r="P84" i="3"/>
  <c r="P83" i="3"/>
  <c r="P81" i="3"/>
  <c r="P80" i="3"/>
  <c r="P79" i="3"/>
  <c r="P77" i="3"/>
  <c r="P76" i="3"/>
  <c r="O76" i="3"/>
  <c r="F75" i="3"/>
  <c r="E75" i="3"/>
  <c r="D75" i="3"/>
  <c r="P64" i="3"/>
  <c r="P63" i="3"/>
  <c r="P61" i="3"/>
  <c r="P60" i="3"/>
  <c r="P59" i="3"/>
  <c r="P57" i="3"/>
  <c r="P56" i="3"/>
  <c r="P55" i="3"/>
  <c r="P53" i="3"/>
  <c r="P52" i="3"/>
  <c r="P51" i="3"/>
  <c r="P48" i="3"/>
  <c r="P47" i="3"/>
  <c r="W46" i="3"/>
  <c r="R46" i="3"/>
  <c r="R75" i="3"/>
  <c r="Q46" i="3"/>
  <c r="Q75" i="3"/>
  <c r="P75" i="3"/>
  <c r="O46" i="3"/>
  <c r="O75" i="3"/>
  <c r="R11" i="3"/>
  <c r="R6" i="3"/>
  <c r="W5" i="3"/>
  <c r="H64" i="3"/>
  <c r="H89" i="3"/>
  <c r="H93" i="3"/>
  <c r="F93" i="3"/>
  <c r="G93" i="3"/>
  <c r="I93" i="3"/>
  <c r="J93" i="3"/>
  <c r="K93" i="3"/>
  <c r="H83" i="3"/>
  <c r="H87" i="3"/>
  <c r="H49" i="3"/>
  <c r="H57" i="3"/>
  <c r="H65" i="3"/>
  <c r="H82" i="3"/>
  <c r="H90" i="3"/>
  <c r="H50" i="3"/>
  <c r="H47" i="3"/>
  <c r="H48" i="3"/>
  <c r="H51" i="3"/>
  <c r="H52" i="3"/>
  <c r="H53" i="3"/>
  <c r="H54" i="3"/>
  <c r="H55" i="3"/>
  <c r="H56" i="3"/>
  <c r="H58" i="3"/>
  <c r="H59" i="3"/>
  <c r="H60" i="3"/>
  <c r="H61" i="3"/>
  <c r="H62" i="3"/>
  <c r="H63" i="3"/>
  <c r="H66" i="3"/>
  <c r="H69" i="3"/>
  <c r="H91" i="3"/>
  <c r="H84" i="3"/>
  <c r="F56" i="3"/>
  <c r="G56" i="3"/>
  <c r="I56" i="3"/>
  <c r="J56" i="3"/>
  <c r="K56" i="3"/>
  <c r="H85" i="3"/>
  <c r="H78" i="3"/>
  <c r="H86" i="3"/>
  <c r="H76" i="3"/>
  <c r="H77" i="3"/>
  <c r="H79" i="3"/>
  <c r="H80" i="3"/>
  <c r="H81" i="3"/>
  <c r="H88" i="3"/>
  <c r="H92" i="3"/>
  <c r="H94" i="3"/>
  <c r="H95" i="3"/>
  <c r="H98" i="3"/>
  <c r="F63" i="3"/>
  <c r="G63" i="3"/>
  <c r="I63" i="3"/>
  <c r="J63" i="3"/>
  <c r="K63" i="3"/>
  <c r="G95" i="3"/>
  <c r="G91" i="3"/>
  <c r="G89" i="3"/>
  <c r="G87" i="3"/>
  <c r="G85" i="3"/>
  <c r="G83" i="3"/>
  <c r="G81" i="3"/>
  <c r="G79" i="3"/>
  <c r="G77" i="3"/>
  <c r="G66" i="3"/>
  <c r="G64" i="3"/>
  <c r="G62" i="3"/>
  <c r="G60" i="3"/>
  <c r="G58" i="3"/>
  <c r="F58" i="3"/>
  <c r="I58" i="3"/>
  <c r="J58" i="3"/>
  <c r="K58" i="3"/>
  <c r="G54" i="3"/>
  <c r="G52" i="3"/>
  <c r="G50" i="3"/>
  <c r="G48" i="3"/>
  <c r="G94" i="3"/>
  <c r="G53" i="3"/>
  <c r="G61" i="3"/>
  <c r="F61" i="3"/>
  <c r="I61" i="3"/>
  <c r="J61" i="3"/>
  <c r="K61" i="3"/>
  <c r="G78" i="3"/>
  <c r="G86" i="3"/>
  <c r="G47" i="3"/>
  <c r="G55" i="3"/>
  <c r="G80" i="3"/>
  <c r="G88" i="3"/>
  <c r="G49" i="3"/>
  <c r="G51" i="3"/>
  <c r="G57" i="3"/>
  <c r="G59" i="3"/>
  <c r="G65" i="3"/>
  <c r="G67" i="3"/>
  <c r="T8" i="3"/>
  <c r="G82" i="3"/>
  <c r="G90" i="3"/>
  <c r="G76" i="3"/>
  <c r="G84" i="3"/>
  <c r="F84" i="3"/>
  <c r="I84" i="3"/>
  <c r="J84" i="3"/>
  <c r="K84" i="3"/>
  <c r="G92" i="3"/>
  <c r="I89" i="3"/>
  <c r="I85" i="3"/>
  <c r="I77" i="3"/>
  <c r="I60" i="3"/>
  <c r="I52" i="3"/>
  <c r="I81" i="3"/>
  <c r="F81" i="3"/>
  <c r="J81" i="3"/>
  <c r="K81" i="3"/>
  <c r="I64" i="3"/>
  <c r="I48" i="3"/>
  <c r="I92" i="3"/>
  <c r="I54" i="3"/>
  <c r="I79" i="3"/>
  <c r="F79" i="3"/>
  <c r="J79" i="3"/>
  <c r="K79" i="3"/>
  <c r="I95" i="3"/>
  <c r="I94" i="3"/>
  <c r="I87" i="3"/>
  <c r="I76" i="3"/>
  <c r="I49" i="3"/>
  <c r="I65" i="3"/>
  <c r="I83" i="3"/>
  <c r="I82" i="3"/>
  <c r="I47" i="3"/>
  <c r="I88" i="3"/>
  <c r="I53" i="3"/>
  <c r="I78" i="3"/>
  <c r="I86" i="3"/>
  <c r="I57" i="3"/>
  <c r="I50" i="3"/>
  <c r="I51" i="3"/>
  <c r="I55" i="3"/>
  <c r="I59" i="3"/>
  <c r="I62" i="3"/>
  <c r="I66" i="3"/>
  <c r="I67" i="3"/>
  <c r="V8" i="3"/>
  <c r="I91" i="3"/>
  <c r="I90" i="3"/>
  <c r="I80" i="3"/>
  <c r="R25" i="3"/>
  <c r="R37" i="3"/>
  <c r="R20" i="3"/>
  <c r="F95" i="3"/>
  <c r="F91" i="3"/>
  <c r="F89" i="3"/>
  <c r="F87" i="3"/>
  <c r="F85" i="3"/>
  <c r="F83" i="3"/>
  <c r="F77" i="3"/>
  <c r="F66" i="3"/>
  <c r="F64" i="3"/>
  <c r="F62" i="3"/>
  <c r="F60" i="3"/>
  <c r="F54" i="3"/>
  <c r="F52" i="3"/>
  <c r="F50" i="3"/>
  <c r="F48" i="3"/>
  <c r="F94" i="3"/>
  <c r="F92" i="3"/>
  <c r="F90" i="3"/>
  <c r="F88" i="3"/>
  <c r="F86" i="3"/>
  <c r="F82" i="3"/>
  <c r="F80" i="3"/>
  <c r="F78" i="3"/>
  <c r="F76" i="3"/>
  <c r="F65" i="3"/>
  <c r="F59" i="3"/>
  <c r="F57" i="3"/>
  <c r="F55" i="3"/>
  <c r="F53" i="3"/>
  <c r="F51" i="3"/>
  <c r="F49" i="3"/>
  <c r="F47" i="3"/>
  <c r="J95" i="3"/>
  <c r="J94" i="3"/>
  <c r="J92" i="3"/>
  <c r="J91" i="3"/>
  <c r="J90" i="3"/>
  <c r="J89" i="3"/>
  <c r="J88" i="3"/>
  <c r="J87" i="3"/>
  <c r="J86" i="3"/>
  <c r="J85" i="3"/>
  <c r="J83" i="3"/>
  <c r="J82" i="3"/>
  <c r="J80" i="3"/>
  <c r="J78" i="3"/>
  <c r="J77" i="3"/>
  <c r="J76" i="3"/>
  <c r="J66" i="3"/>
  <c r="J65" i="3"/>
  <c r="J64" i="3"/>
  <c r="K64" i="3"/>
  <c r="J62" i="3"/>
  <c r="J60" i="3"/>
  <c r="J59" i="3"/>
  <c r="J57" i="3"/>
  <c r="J55" i="3"/>
  <c r="J54" i="3"/>
  <c r="J53" i="3"/>
  <c r="J52" i="3"/>
  <c r="K52" i="3"/>
  <c r="J51" i="3"/>
  <c r="J50" i="3"/>
  <c r="J49" i="3"/>
  <c r="J48" i="3"/>
  <c r="J47" i="3"/>
  <c r="W26" i="3"/>
  <c r="W12" i="3"/>
  <c r="W45" i="3"/>
  <c r="S44" i="3"/>
  <c r="S45" i="3"/>
  <c r="K45" i="3"/>
  <c r="S7" i="3"/>
  <c r="G96" i="3"/>
  <c r="T13" i="3"/>
  <c r="K54" i="3"/>
  <c r="W38" i="3"/>
  <c r="F97" i="3"/>
  <c r="S14" i="3"/>
  <c r="K65" i="3"/>
  <c r="S33" i="3"/>
  <c r="S21" i="3"/>
  <c r="S38" i="3"/>
  <c r="S26" i="3"/>
  <c r="F98" i="3"/>
  <c r="K55" i="3"/>
  <c r="F67" i="3"/>
  <c r="S8" i="3"/>
  <c r="K53" i="3"/>
  <c r="J67" i="3"/>
  <c r="W8" i="3"/>
  <c r="J97" i="3"/>
  <c r="K92" i="3"/>
  <c r="K51" i="3"/>
  <c r="K94" i="3"/>
  <c r="K82" i="3"/>
  <c r="K78" i="3"/>
  <c r="K80" i="3"/>
  <c r="K87" i="3"/>
  <c r="K47" i="3"/>
  <c r="F68" i="3"/>
  <c r="S15" i="3"/>
  <c r="AA125" i="2"/>
  <c r="E170" i="2"/>
  <c r="F170" i="2"/>
  <c r="J170" i="2"/>
  <c r="D170" i="2"/>
  <c r="U169" i="2"/>
  <c r="E196" i="2"/>
  <c r="D196" i="2"/>
  <c r="V117" i="2"/>
  <c r="E117" i="2"/>
  <c r="D117" i="2"/>
  <c r="K86" i="2"/>
  <c r="K87" i="2"/>
  <c r="K88" i="2"/>
  <c r="K89" i="2"/>
  <c r="K90" i="2"/>
  <c r="K91" i="2"/>
  <c r="K92" i="2"/>
  <c r="K93" i="2"/>
  <c r="K94" i="2"/>
  <c r="K95" i="2"/>
  <c r="K96" i="2"/>
  <c r="K97" i="2"/>
  <c r="K98" i="2"/>
  <c r="K99" i="2"/>
  <c r="K100" i="2"/>
  <c r="K101" i="2"/>
  <c r="K102" i="2"/>
  <c r="K103" i="2"/>
  <c r="K104" i="2"/>
  <c r="K85" i="2"/>
  <c r="K53" i="2"/>
  <c r="K54" i="2"/>
  <c r="K55" i="2"/>
  <c r="K56" i="2"/>
  <c r="K57" i="2"/>
  <c r="K58" i="2"/>
  <c r="K59" i="2"/>
  <c r="K60" i="2"/>
  <c r="K61" i="2"/>
  <c r="K62" i="2"/>
  <c r="K63" i="2"/>
  <c r="K64" i="2"/>
  <c r="K65" i="2"/>
  <c r="K66" i="2"/>
  <c r="K67" i="2"/>
  <c r="K68" i="2"/>
  <c r="K69" i="2"/>
  <c r="K70" i="2"/>
  <c r="K71" i="2"/>
  <c r="U64" i="3"/>
  <c r="T64" i="3"/>
  <c r="S61" i="3"/>
  <c r="U61" i="3"/>
  <c r="S58" i="3"/>
  <c r="U58" i="3"/>
  <c r="U55" i="3"/>
  <c r="T55" i="3"/>
  <c r="U53" i="3"/>
  <c r="T53" i="3"/>
  <c r="S82" i="3"/>
  <c r="U82" i="3"/>
  <c r="S84" i="3"/>
  <c r="T84" i="3"/>
  <c r="U84" i="3"/>
  <c r="U86" i="3"/>
  <c r="T86" i="3"/>
  <c r="U88" i="3"/>
  <c r="S90" i="3"/>
  <c r="U90" i="3"/>
  <c r="S92" i="3"/>
  <c r="U92" i="3"/>
  <c r="U52" i="3"/>
  <c r="V51" i="3"/>
  <c r="W51" i="3"/>
  <c r="W50" i="3"/>
  <c r="U49" i="3"/>
  <c r="W82" i="3"/>
  <c r="V83" i="3"/>
  <c r="W83" i="3"/>
  <c r="W84" i="3"/>
  <c r="V85" i="3"/>
  <c r="W85" i="3"/>
  <c r="W86" i="3"/>
  <c r="W87" i="3"/>
  <c r="W88" i="3"/>
  <c r="W89" i="3"/>
  <c r="W90" i="3"/>
  <c r="W91" i="3"/>
  <c r="W92" i="3"/>
  <c r="W93" i="3"/>
  <c r="W94" i="3"/>
  <c r="W95" i="3"/>
  <c r="W52" i="3"/>
  <c r="S63" i="3"/>
  <c r="U63" i="3"/>
  <c r="S60" i="3"/>
  <c r="T60" i="3"/>
  <c r="U60" i="3"/>
  <c r="T57" i="3"/>
  <c r="U57" i="3"/>
  <c r="S54" i="3"/>
  <c r="U54" i="3"/>
  <c r="T54" i="3"/>
  <c r="W76" i="3"/>
  <c r="U76" i="3"/>
  <c r="T76" i="3"/>
  <c r="S83" i="3"/>
  <c r="T83" i="3"/>
  <c r="U83" i="3"/>
  <c r="S85" i="3"/>
  <c r="U85" i="3"/>
  <c r="T85" i="3"/>
  <c r="X85" i="3"/>
  <c r="U87" i="3"/>
  <c r="T87" i="3"/>
  <c r="S89" i="3"/>
  <c r="U89" i="3"/>
  <c r="S91" i="3"/>
  <c r="U91" i="3"/>
  <c r="S93" i="3"/>
  <c r="U93" i="3"/>
  <c r="T93" i="3"/>
  <c r="U94" i="3"/>
  <c r="T94" i="3"/>
  <c r="U95" i="3"/>
  <c r="U51" i="3"/>
  <c r="T51" i="3"/>
  <c r="U50" i="3"/>
  <c r="U77" i="3"/>
  <c r="U78" i="3"/>
  <c r="U79" i="3"/>
  <c r="U80" i="3"/>
  <c r="U81" i="3"/>
  <c r="U98" i="3"/>
  <c r="T77" i="3"/>
  <c r="T79" i="3"/>
  <c r="T80" i="3"/>
  <c r="S81" i="3"/>
  <c r="T81" i="3"/>
  <c r="T66" i="3"/>
  <c r="U66" i="3"/>
  <c r="S65" i="3"/>
  <c r="U65" i="3"/>
  <c r="T65" i="3"/>
  <c r="S62" i="3"/>
  <c r="U62" i="3"/>
  <c r="S59" i="3"/>
  <c r="U59" i="3"/>
  <c r="T59" i="3"/>
  <c r="T56" i="3"/>
  <c r="U56" i="3"/>
  <c r="W49" i="3"/>
  <c r="T47" i="3"/>
  <c r="U47" i="3"/>
  <c r="W66" i="3"/>
  <c r="W65" i="3"/>
  <c r="W64" i="3"/>
  <c r="W63" i="3"/>
  <c r="W62" i="3"/>
  <c r="V61" i="3"/>
  <c r="W61" i="3"/>
  <c r="W60" i="3"/>
  <c r="V59" i="3"/>
  <c r="W59" i="3"/>
  <c r="X59" i="3"/>
  <c r="W58" i="3"/>
  <c r="W57" i="3"/>
  <c r="W56" i="3"/>
  <c r="W55" i="3"/>
  <c r="W54" i="3"/>
  <c r="V53" i="3"/>
  <c r="W53" i="3"/>
  <c r="T48" i="3"/>
  <c r="U48" i="3"/>
  <c r="W48" i="3"/>
  <c r="W47" i="3"/>
  <c r="W69" i="3"/>
  <c r="W77" i="3"/>
  <c r="W78" i="3"/>
  <c r="V79" i="3"/>
  <c r="W79" i="3"/>
  <c r="W80" i="3"/>
  <c r="V81" i="3"/>
  <c r="W81" i="3"/>
  <c r="S52" i="3"/>
  <c r="S95" i="3"/>
  <c r="S49" i="3"/>
  <c r="S47" i="3"/>
  <c r="S50" i="3"/>
  <c r="S77" i="3"/>
  <c r="S78" i="3"/>
  <c r="S80" i="3"/>
  <c r="S48" i="3"/>
  <c r="AB68" i="2"/>
  <c r="AB64" i="2"/>
  <c r="AB60" i="2"/>
  <c r="AB55" i="2"/>
  <c r="AB88" i="2"/>
  <c r="AB89" i="2"/>
  <c r="AB91" i="2"/>
  <c r="AB94" i="2"/>
  <c r="AB95" i="2"/>
  <c r="AB98" i="2"/>
  <c r="AB99" i="2"/>
  <c r="AB102" i="2"/>
  <c r="AB103" i="2"/>
  <c r="AB71" i="2"/>
  <c r="AB70" i="2"/>
  <c r="AB69" i="2"/>
  <c r="AB67" i="2"/>
  <c r="AB66" i="2"/>
  <c r="AB65" i="2"/>
  <c r="AB63" i="2"/>
  <c r="AB62" i="2"/>
  <c r="AB61" i="2"/>
  <c r="AB59" i="2"/>
  <c r="AB58" i="2"/>
  <c r="AB56" i="2"/>
  <c r="AB86" i="2"/>
  <c r="AB87" i="2"/>
  <c r="AB92" i="2"/>
  <c r="AB93" i="2"/>
  <c r="AB96" i="2"/>
  <c r="AB97" i="2"/>
  <c r="AB100" i="2"/>
  <c r="AB101" i="2"/>
  <c r="AB90" i="2"/>
  <c r="U97" i="3"/>
  <c r="U102" i="3"/>
  <c r="X83" i="3"/>
  <c r="X81" i="3"/>
  <c r="Q131" i="2"/>
  <c r="B87" i="2"/>
  <c r="B88" i="2"/>
  <c r="B89" i="2"/>
  <c r="B90" i="2"/>
  <c r="B91" i="2"/>
  <c r="B92" i="2"/>
  <c r="B93" i="2"/>
  <c r="B94" i="2"/>
  <c r="B95" i="2"/>
  <c r="B96" i="2"/>
  <c r="B97" i="2"/>
  <c r="B98" i="2"/>
  <c r="B99" i="2"/>
  <c r="B100" i="2"/>
  <c r="B101" i="2"/>
  <c r="B102" i="2"/>
  <c r="B103" i="2"/>
  <c r="B104" i="2"/>
  <c r="B86" i="2"/>
  <c r="B54" i="2"/>
  <c r="B55" i="2"/>
  <c r="B56" i="2"/>
  <c r="B57" i="2"/>
  <c r="B58" i="2"/>
  <c r="B59" i="2"/>
  <c r="B60" i="2"/>
  <c r="B61" i="2"/>
  <c r="B62" i="2"/>
  <c r="B63" i="2"/>
  <c r="B64" i="2"/>
  <c r="B65" i="2"/>
  <c r="B66" i="2"/>
  <c r="B67" i="2"/>
  <c r="B68" i="2"/>
  <c r="B69" i="2"/>
  <c r="B70" i="2"/>
  <c r="B71" i="2"/>
  <c r="B53" i="2"/>
  <c r="C84" i="2"/>
  <c r="B84" i="2"/>
  <c r="W51" i="2"/>
  <c r="W22" i="2"/>
  <c r="V84" i="2"/>
  <c r="Q132" i="2"/>
  <c r="Q110" i="2"/>
  <c r="AE43" i="2"/>
  <c r="AG43" i="2"/>
  <c r="AD43" i="2"/>
  <c r="J125" i="2"/>
  <c r="F125" i="2"/>
  <c r="AA49" i="2"/>
  <c r="AA36" i="2"/>
  <c r="W49" i="2"/>
  <c r="W31" i="2"/>
  <c r="AA22" i="2"/>
  <c r="W17" i="2"/>
  <c r="AA17" i="2"/>
  <c r="Q109" i="2"/>
  <c r="Q155" i="2"/>
  <c r="Q154" i="2"/>
  <c r="Q166" i="2"/>
  <c r="Q165" i="2"/>
  <c r="K240" i="2"/>
  <c r="AB240" i="2"/>
  <c r="AD238" i="2"/>
  <c r="AD168" i="2"/>
  <c r="D84" i="2"/>
  <c r="E84" i="2"/>
  <c r="F84" i="2"/>
  <c r="D195" i="2"/>
  <c r="D144" i="2"/>
  <c r="U117" i="2"/>
  <c r="T51" i="2"/>
  <c r="T84" i="2"/>
  <c r="S51" i="2"/>
  <c r="S84" i="2"/>
  <c r="AE144" i="2"/>
  <c r="N43" i="2"/>
  <c r="P43" i="2"/>
  <c r="O43" i="2"/>
  <c r="M46" i="2"/>
  <c r="M122" i="2"/>
  <c r="M123" i="2"/>
  <c r="AC183" i="2"/>
  <c r="AC178" i="2"/>
  <c r="AA20" i="2"/>
  <c r="AA24" i="2"/>
  <c r="W20" i="2"/>
  <c r="W24" i="2"/>
  <c r="AA18" i="2"/>
  <c r="AA23" i="2"/>
  <c r="W23" i="2"/>
  <c r="AE152" i="2"/>
  <c r="M152" i="2"/>
  <c r="O152" i="2"/>
  <c r="AF178" i="2"/>
  <c r="AC179" i="2"/>
  <c r="AC157" i="2"/>
  <c r="AC153" i="2"/>
  <c r="AC209" i="2"/>
  <c r="AC205" i="2"/>
  <c r="L209" i="2"/>
  <c r="L205" i="2"/>
  <c r="L157" i="2"/>
  <c r="L153" i="2"/>
  <c r="L204" i="2"/>
  <c r="L203" i="2"/>
  <c r="AC204" i="2"/>
  <c r="AC203" i="2"/>
  <c r="AC152" i="2"/>
  <c r="AC151" i="2"/>
  <c r="AC177" i="2"/>
  <c r="L152" i="2"/>
  <c r="L151" i="2"/>
  <c r="W15" i="2"/>
  <c r="AA15" i="2"/>
  <c r="V16" i="2"/>
  <c r="V21" i="2"/>
  <c r="S52" i="2"/>
  <c r="V30" i="2"/>
  <c r="S85" i="2"/>
  <c r="V35" i="2"/>
  <c r="T52" i="2"/>
  <c r="T53" i="2"/>
  <c r="T54" i="2"/>
  <c r="T55" i="2"/>
  <c r="T56" i="2"/>
  <c r="T57" i="2"/>
  <c r="T58" i="2"/>
  <c r="T59" i="2"/>
  <c r="T60" i="2"/>
  <c r="T61" i="2"/>
  <c r="T62" i="2"/>
  <c r="T63" i="2"/>
  <c r="T64" i="2"/>
  <c r="T65" i="2"/>
  <c r="T66" i="2"/>
  <c r="T67" i="2"/>
  <c r="T68" i="2"/>
  <c r="T69" i="2"/>
  <c r="T70" i="2"/>
  <c r="T71" i="2"/>
  <c r="J84" i="2"/>
  <c r="T85" i="2"/>
  <c r="T86" i="2"/>
  <c r="T87" i="2"/>
  <c r="T88" i="2"/>
  <c r="T89" i="2"/>
  <c r="T90" i="2"/>
  <c r="T91" i="2"/>
  <c r="T92" i="2"/>
  <c r="T93" i="2"/>
  <c r="T94" i="2"/>
  <c r="T95" i="2"/>
  <c r="T96" i="2"/>
  <c r="T97" i="2"/>
  <c r="T98" i="2"/>
  <c r="T99" i="2"/>
  <c r="T100" i="2"/>
  <c r="T101" i="2"/>
  <c r="T102" i="2"/>
  <c r="T103" i="2"/>
  <c r="T104" i="2"/>
  <c r="F128" i="2"/>
  <c r="J128" i="2"/>
  <c r="W126" i="2"/>
  <c r="AA126" i="2"/>
  <c r="D143" i="2"/>
  <c r="M142" i="2"/>
  <c r="U143" i="2"/>
  <c r="AD142" i="2"/>
  <c r="E144" i="2"/>
  <c r="M194" i="2"/>
  <c r="U195" i="2"/>
  <c r="AD194" i="2"/>
  <c r="M238" i="2"/>
  <c r="AD263" i="2"/>
  <c r="P204" i="2"/>
  <c r="P152" i="2"/>
  <c r="AE178" i="2"/>
  <c r="AG178" i="2"/>
  <c r="AD178" i="2"/>
  <c r="AD152" i="2"/>
  <c r="AF152" i="2"/>
  <c r="AG152" i="2"/>
  <c r="W128" i="2"/>
  <c r="AA128" i="2"/>
  <c r="N152" i="2"/>
  <c r="N204" i="2"/>
  <c r="O204" i="2"/>
  <c r="M204" i="2"/>
  <c r="U100" i="3"/>
  <c r="B66" i="3"/>
  <c r="O66" i="3"/>
  <c r="B58" i="3"/>
  <c r="O58" i="3"/>
  <c r="B94" i="3"/>
  <c r="O94" i="3"/>
  <c r="B90" i="3"/>
  <c r="O90" i="3"/>
  <c r="B82" i="3"/>
  <c r="O82" i="3"/>
  <c r="S87" i="2"/>
  <c r="B78" i="3"/>
  <c r="O78" i="3"/>
  <c r="B75" i="3"/>
  <c r="B61" i="3"/>
  <c r="O61" i="3"/>
  <c r="B57" i="3"/>
  <c r="O57" i="3"/>
  <c r="B49" i="3"/>
  <c r="O49" i="3"/>
  <c r="B89" i="3"/>
  <c r="O89" i="3"/>
  <c r="B81" i="3"/>
  <c r="O81" i="3"/>
  <c r="C75" i="3"/>
  <c r="B64" i="3"/>
  <c r="O64" i="3"/>
  <c r="B60" i="3"/>
  <c r="O60" i="3"/>
  <c r="B56" i="3"/>
  <c r="O56" i="3"/>
  <c r="B52" i="3"/>
  <c r="O52" i="3"/>
  <c r="S86" i="2"/>
  <c r="B77" i="3"/>
  <c r="O77" i="3"/>
  <c r="B92" i="3"/>
  <c r="O92" i="3"/>
  <c r="B88" i="3"/>
  <c r="O88" i="3"/>
  <c r="B84" i="3"/>
  <c r="O84" i="3"/>
  <c r="B80" i="3"/>
  <c r="O80" i="3"/>
  <c r="B62" i="3"/>
  <c r="O62" i="3"/>
  <c r="B54" i="3"/>
  <c r="O54" i="3"/>
  <c r="B50" i="3"/>
  <c r="O50" i="3"/>
  <c r="B86" i="3"/>
  <c r="O86" i="3"/>
  <c r="B65" i="3"/>
  <c r="O65" i="3"/>
  <c r="B53" i="3"/>
  <c r="O53" i="3"/>
  <c r="B93" i="3"/>
  <c r="O93" i="3"/>
  <c r="B85" i="3"/>
  <c r="O85" i="3"/>
  <c r="D164" i="2"/>
  <c r="S53" i="2"/>
  <c r="B48" i="3"/>
  <c r="O48" i="3"/>
  <c r="B63" i="3"/>
  <c r="O63" i="3"/>
  <c r="B59" i="3"/>
  <c r="O59" i="3"/>
  <c r="B55" i="3"/>
  <c r="O55" i="3"/>
  <c r="B51" i="3"/>
  <c r="O51" i="3"/>
  <c r="B95" i="3"/>
  <c r="O95" i="3"/>
  <c r="B91" i="3"/>
  <c r="O91" i="3"/>
  <c r="B87" i="3"/>
  <c r="O87" i="3"/>
  <c r="B83" i="3"/>
  <c r="O83" i="3"/>
  <c r="S88" i="2"/>
  <c r="B79" i="3"/>
  <c r="O79" i="3"/>
  <c r="W125" i="2"/>
  <c r="AA31" i="2"/>
  <c r="N84" i="2"/>
  <c r="N170" i="2"/>
  <c r="N144" i="2"/>
  <c r="AA29" i="2"/>
  <c r="N240" i="2"/>
  <c r="AE170" i="2"/>
  <c r="N196" i="2"/>
  <c r="AA84" i="2"/>
  <c r="AE196" i="2"/>
  <c r="W36" i="2"/>
  <c r="W25" i="2"/>
  <c r="AE240" i="2"/>
  <c r="U84" i="2"/>
  <c r="AA117" i="2"/>
  <c r="W117" i="2"/>
  <c r="AA77" i="2"/>
  <c r="AA32" i="2"/>
  <c r="W110" i="2"/>
  <c r="W37" i="2"/>
  <c r="AA79" i="2"/>
  <c r="W18" i="2"/>
  <c r="AA19" i="2"/>
  <c r="W77" i="2"/>
  <c r="W32" i="2"/>
  <c r="S54" i="2"/>
  <c r="AA112" i="2"/>
  <c r="AA111" i="2"/>
  <c r="U107" i="2"/>
  <c r="AA121" i="2"/>
  <c r="AA25" i="2"/>
  <c r="AA123" i="2"/>
  <c r="W78" i="2"/>
  <c r="W79" i="2"/>
  <c r="AB53" i="2"/>
  <c r="AB54" i="2"/>
  <c r="U74" i="2"/>
  <c r="AD46" i="2"/>
  <c r="W19" i="2"/>
  <c r="W121" i="2"/>
  <c r="M121" i="2"/>
  <c r="M120" i="2"/>
  <c r="AF43" i="2"/>
  <c r="AD265" i="2"/>
  <c r="W29" i="2"/>
  <c r="W84" i="2"/>
  <c r="AF144" i="2"/>
  <c r="AD196" i="2"/>
  <c r="AD240" i="2"/>
  <c r="AD144" i="2"/>
  <c r="AD170" i="2"/>
  <c r="AE265" i="2"/>
  <c r="P170" i="2"/>
  <c r="AH70" i="2"/>
  <c r="AH65" i="2"/>
  <c r="AH58" i="2"/>
  <c r="AH67" i="2"/>
  <c r="AH56" i="2"/>
  <c r="AH61" i="2"/>
  <c r="AH54" i="2"/>
  <c r="AH68" i="2"/>
  <c r="AH69" i="2"/>
  <c r="AH62" i="2"/>
  <c r="AH55" i="2"/>
  <c r="AH71" i="2"/>
  <c r="AH60" i="2"/>
  <c r="O122" i="2"/>
  <c r="O123" i="2"/>
  <c r="AB104" i="2"/>
  <c r="AB85" i="2"/>
  <c r="AB52" i="2"/>
  <c r="AF122" i="2"/>
  <c r="AF123" i="2"/>
  <c r="AD122" i="2"/>
  <c r="AD123" i="2"/>
  <c r="AH59" i="2"/>
  <c r="AH64" i="2"/>
  <c r="AH66" i="2"/>
  <c r="AH63" i="2"/>
  <c r="AB57" i="2"/>
  <c r="AA34" i="2"/>
  <c r="AH57" i="2"/>
  <c r="AA33" i="2"/>
  <c r="AA78" i="2"/>
  <c r="W33" i="2"/>
  <c r="W34" i="2"/>
  <c r="S55" i="2"/>
  <c r="S89" i="2"/>
  <c r="AA122" i="2"/>
  <c r="AA110" i="2"/>
  <c r="AA37" i="2"/>
  <c r="W112" i="2"/>
  <c r="W111" i="2"/>
  <c r="N120" i="2"/>
  <c r="W123" i="2"/>
  <c r="W122" i="2"/>
  <c r="AF240" i="2"/>
  <c r="AF265" i="2"/>
  <c r="AF170" i="2"/>
  <c r="AF196" i="2"/>
  <c r="N242" i="2"/>
  <c r="N121" i="2"/>
  <c r="AG265" i="2"/>
  <c r="AG144" i="2"/>
  <c r="AG170" i="2"/>
  <c r="AG196" i="2"/>
  <c r="AG240" i="2"/>
  <c r="P84" i="2"/>
  <c r="P196" i="2"/>
  <c r="P144" i="2"/>
  <c r="P240" i="2"/>
  <c r="AH53" i="2"/>
  <c r="D199" i="2"/>
  <c r="W132" i="2"/>
  <c r="W131" i="2"/>
  <c r="S56" i="2"/>
  <c r="W38" i="2"/>
  <c r="W39" i="2"/>
  <c r="S90" i="2"/>
  <c r="AA39" i="2"/>
  <c r="AA38" i="2"/>
  <c r="N166" i="2"/>
  <c r="N244" i="2"/>
  <c r="N245" i="2"/>
  <c r="N164" i="2"/>
  <c r="N165" i="2"/>
  <c r="D216" i="2"/>
  <c r="S57" i="2"/>
  <c r="S91" i="2"/>
  <c r="N246" i="2"/>
  <c r="N247" i="2"/>
  <c r="S58" i="2"/>
  <c r="S92" i="2"/>
  <c r="S59" i="2"/>
  <c r="S93" i="2"/>
  <c r="S60" i="2"/>
  <c r="S94" i="2"/>
  <c r="S61" i="2"/>
  <c r="S95" i="2"/>
  <c r="S62" i="2"/>
  <c r="S96" i="2"/>
  <c r="S63" i="2"/>
  <c r="S97" i="2"/>
  <c r="S64" i="2"/>
  <c r="S98" i="2"/>
  <c r="S65" i="2"/>
  <c r="S99" i="2"/>
  <c r="S66" i="2"/>
  <c r="S100" i="2"/>
  <c r="S67" i="2"/>
  <c r="S101" i="2"/>
  <c r="S68" i="2"/>
  <c r="S102" i="2"/>
  <c r="S69" i="2"/>
  <c r="S103" i="2"/>
  <c r="S104" i="2"/>
  <c r="S71" i="2"/>
  <c r="S70" i="2"/>
  <c r="AE261" i="2"/>
  <c r="AE246" i="2"/>
  <c r="AE260" i="2"/>
  <c r="AE245" i="2"/>
  <c r="AE247" i="2"/>
  <c r="AE262" i="2"/>
  <c r="AE251" i="2"/>
  <c r="AE250" i="2"/>
  <c r="AE252" i="2"/>
  <c r="AE244" i="2"/>
  <c r="AE249" i="2"/>
  <c r="AD261" i="2"/>
  <c r="AD251" i="2"/>
  <c r="AD260" i="2"/>
  <c r="AD250" i="2"/>
  <c r="AD252" i="2"/>
  <c r="AD246" i="2"/>
  <c r="AD245" i="2"/>
  <c r="AD247" i="2"/>
  <c r="AD262" i="2"/>
  <c r="AE79" i="2"/>
  <c r="AE76" i="2"/>
  <c r="AE78" i="2"/>
  <c r="AE77" i="2"/>
  <c r="AD249" i="2"/>
  <c r="AD244" i="2"/>
  <c r="AD79" i="2"/>
  <c r="AD76" i="2"/>
  <c r="AD77" i="2"/>
  <c r="AD78" i="2"/>
  <c r="AH52" i="2"/>
  <c r="V82" i="2"/>
  <c r="T82" i="2"/>
  <c r="AF79" i="2"/>
  <c r="V81" i="2"/>
  <c r="AF244" i="2"/>
  <c r="AF77" i="2"/>
  <c r="AG79" i="2"/>
  <c r="AF249" i="2"/>
  <c r="AG249" i="2"/>
  <c r="AG77" i="2"/>
  <c r="AG244" i="2"/>
  <c r="AG78" i="2"/>
  <c r="AG76" i="2"/>
  <c r="AF78" i="2"/>
  <c r="AF76" i="2"/>
  <c r="AG261" i="2"/>
  <c r="AG260" i="2"/>
  <c r="AG262" i="2"/>
  <c r="AG246" i="2"/>
  <c r="AG245" i="2"/>
  <c r="AG247" i="2"/>
  <c r="AG251" i="2"/>
  <c r="AG250" i="2"/>
  <c r="AG252" i="2"/>
  <c r="AF261" i="2"/>
  <c r="AF260" i="2"/>
  <c r="AF262" i="2"/>
  <c r="AF246" i="2"/>
  <c r="AF245" i="2"/>
  <c r="AF247" i="2"/>
  <c r="AF251" i="2"/>
  <c r="AF250" i="2"/>
  <c r="AF252" i="2"/>
  <c r="AE46" i="2"/>
  <c r="W135" i="2"/>
  <c r="AF227" i="2"/>
  <c r="AG227" i="2"/>
  <c r="AF228" i="2"/>
  <c r="AF233" i="2" s="1"/>
  <c r="AF234" i="2" s="1"/>
  <c r="AG228" i="2"/>
  <c r="AE228" i="2"/>
  <c r="AE233" i="2" s="1"/>
  <c r="AE234" i="2" s="1"/>
  <c r="AE227" i="2"/>
  <c r="AD228" i="2"/>
  <c r="AD233" i="2" s="1"/>
  <c r="AD234" i="2" s="1"/>
  <c r="AD227" i="2"/>
  <c r="N228" i="2"/>
  <c r="N233" i="2" s="1"/>
  <c r="N234" i="2" s="1"/>
  <c r="M228" i="2"/>
  <c r="L36" i="2"/>
  <c r="E86" i="2"/>
  <c r="E87" i="2"/>
  <c r="E88" i="2"/>
  <c r="E89" i="2"/>
  <c r="E90" i="2"/>
  <c r="E91" i="2"/>
  <c r="E92" i="2"/>
  <c r="E93" i="2"/>
  <c r="E94" i="2"/>
  <c r="E95" i="2"/>
  <c r="E96" i="2"/>
  <c r="E97" i="2"/>
  <c r="E98" i="2"/>
  <c r="E99" i="2"/>
  <c r="E100" i="2"/>
  <c r="E101" i="2"/>
  <c r="E102" i="2"/>
  <c r="E103" i="2"/>
  <c r="E104" i="2"/>
  <c r="E53" i="2"/>
  <c r="E54" i="2"/>
  <c r="E55" i="2"/>
  <c r="E56" i="2"/>
  <c r="E57" i="2"/>
  <c r="E58" i="2"/>
  <c r="E59" i="2"/>
  <c r="E60" i="2"/>
  <c r="E61" i="2"/>
  <c r="E62" i="2"/>
  <c r="E63" i="2"/>
  <c r="E64" i="2"/>
  <c r="E65" i="2"/>
  <c r="E66" i="2"/>
  <c r="E67" i="2"/>
  <c r="E68" i="2"/>
  <c r="E69" i="2"/>
  <c r="E70" i="2"/>
  <c r="E71" i="2"/>
  <c r="P227" i="2"/>
  <c r="P228" i="2"/>
  <c r="O227" i="2"/>
  <c r="O229" i="2" s="1"/>
  <c r="O228" i="2"/>
  <c r="O233" i="2" s="1"/>
  <c r="O234" i="2" s="1"/>
  <c r="W133" i="2"/>
  <c r="AD215" i="2"/>
  <c r="AE215" i="2"/>
  <c r="AE254" i="2"/>
  <c r="AE256" i="2"/>
  <c r="AE255" i="2"/>
  <c r="AE257" i="2"/>
  <c r="AF215" i="2"/>
  <c r="AF254" i="2"/>
  <c r="AF256" i="2"/>
  <c r="AF255" i="2"/>
  <c r="AF257" i="2"/>
  <c r="AG215" i="2"/>
  <c r="AG254" i="2"/>
  <c r="AG256" i="2"/>
  <c r="AG255" i="2"/>
  <c r="AG257" i="2"/>
  <c r="AD254" i="2"/>
  <c r="AD256" i="2"/>
  <c r="AD255" i="2"/>
  <c r="AD257" i="2"/>
  <c r="AF80" i="2"/>
  <c r="AG80" i="2"/>
  <c r="AG81" i="2"/>
  <c r="AF81" i="2"/>
  <c r="AE81" i="2"/>
  <c r="AE80" i="2"/>
  <c r="AD81" i="2"/>
  <c r="AD80" i="2"/>
  <c r="AE273" i="2"/>
  <c r="AG273" i="2"/>
  <c r="L37" i="2"/>
  <c r="L38" i="2" s="1"/>
  <c r="M37" i="2"/>
  <c r="M38" i="2" s="1"/>
  <c r="Q63" i="2"/>
  <c r="Q68" i="2"/>
  <c r="Q64" i="2"/>
  <c r="Q55" i="2"/>
  <c r="Q67" i="2"/>
  <c r="Q54" i="2"/>
  <c r="Q70" i="2"/>
  <c r="Q66" i="2"/>
  <c r="Q62" i="2"/>
  <c r="Q58" i="2"/>
  <c r="Q53" i="2"/>
  <c r="Q71" i="2"/>
  <c r="Q59" i="2"/>
  <c r="Q69" i="2"/>
  <c r="Q65" i="2"/>
  <c r="Q61" i="2"/>
  <c r="Q56" i="2"/>
  <c r="Q99" i="2"/>
  <c r="Q95" i="2"/>
  <c r="Q86" i="2"/>
  <c r="Q98" i="2"/>
  <c r="Q89" i="2"/>
  <c r="Q101" i="2"/>
  <c r="Q97" i="2"/>
  <c r="Q93" i="2"/>
  <c r="Q88" i="2"/>
  <c r="Q103" i="2"/>
  <c r="Q91" i="2"/>
  <c r="Q102" i="2"/>
  <c r="Q94" i="2"/>
  <c r="Q100" i="2"/>
  <c r="Q96" i="2"/>
  <c r="Q92" i="2"/>
  <c r="Q87" i="2"/>
  <c r="Q104" i="2"/>
  <c r="Q60" i="2"/>
  <c r="Q90" i="2"/>
  <c r="Q57" i="2"/>
  <c r="V93" i="3"/>
  <c r="X93" i="3"/>
  <c r="T92" i="3"/>
  <c r="V92" i="3"/>
  <c r="X92" i="3"/>
  <c r="W98" i="3"/>
  <c r="W96" i="3"/>
  <c r="V84" i="3"/>
  <c r="X84" i="3"/>
  <c r="K95" i="3"/>
  <c r="K62" i="3"/>
  <c r="W14" i="3"/>
  <c r="W15" i="3"/>
  <c r="V50" i="3"/>
  <c r="V82" i="3"/>
  <c r="V86" i="3"/>
  <c r="V88" i="3"/>
  <c r="V90" i="3"/>
  <c r="V94" i="3"/>
  <c r="V52" i="3"/>
  <c r="T52" i="3"/>
  <c r="X52" i="3"/>
  <c r="V76" i="3"/>
  <c r="V48" i="3"/>
  <c r="X48" i="3"/>
  <c r="V89" i="3"/>
  <c r="V49" i="3"/>
  <c r="V66" i="3"/>
  <c r="V64" i="3"/>
  <c r="V62" i="3"/>
  <c r="V60" i="3"/>
  <c r="X60" i="3"/>
  <c r="V58" i="3"/>
  <c r="V56" i="3"/>
  <c r="V54" i="3"/>
  <c r="X54" i="3"/>
  <c r="V87" i="3"/>
  <c r="V95" i="3"/>
  <c r="V78" i="3"/>
  <c r="V80" i="3"/>
  <c r="W67" i="3"/>
  <c r="W97" i="3"/>
  <c r="X80" i="3"/>
  <c r="V47" i="3"/>
  <c r="V57" i="3"/>
  <c r="V65" i="3"/>
  <c r="X65" i="3"/>
  <c r="V91" i="3"/>
  <c r="W19" i="3"/>
  <c r="W31" i="3"/>
  <c r="W75" i="3"/>
  <c r="U75" i="3"/>
  <c r="U31" i="3"/>
  <c r="U67" i="3"/>
  <c r="U68" i="3"/>
  <c r="I98" i="3"/>
  <c r="I97" i="3"/>
  <c r="K76" i="3"/>
  <c r="I96" i="3"/>
  <c r="V13" i="3"/>
  <c r="G98" i="3"/>
  <c r="K86" i="3"/>
  <c r="H97" i="3"/>
  <c r="H67" i="3"/>
  <c r="U8" i="3"/>
  <c r="V46" i="3"/>
  <c r="V5" i="3"/>
  <c r="I75" i="3"/>
  <c r="U69" i="3"/>
  <c r="K83" i="3"/>
  <c r="W68" i="3"/>
  <c r="V77" i="3"/>
  <c r="X77" i="3"/>
  <c r="V55" i="3"/>
  <c r="V63" i="3"/>
  <c r="T91" i="3"/>
  <c r="X91" i="3"/>
  <c r="U96" i="3"/>
  <c r="G69" i="3"/>
  <c r="T21" i="3"/>
  <c r="T26" i="3"/>
  <c r="J68" i="3"/>
  <c r="J69" i="3"/>
  <c r="J96" i="3"/>
  <c r="W13" i="3"/>
  <c r="J98" i="3"/>
  <c r="K49" i="3"/>
  <c r="F69" i="3"/>
  <c r="K57" i="3"/>
  <c r="K90" i="3"/>
  <c r="K50" i="3"/>
  <c r="K66" i="3"/>
  <c r="K91" i="3"/>
  <c r="I69" i="3"/>
  <c r="K48" i="3"/>
  <c r="I68" i="3"/>
  <c r="G97" i="3"/>
  <c r="K88" i="3"/>
  <c r="G68" i="3"/>
  <c r="H96" i="3"/>
  <c r="U13" i="3"/>
  <c r="H68" i="3"/>
  <c r="K89" i="3"/>
  <c r="S46" i="3"/>
  <c r="S5" i="3"/>
  <c r="T38" i="3"/>
  <c r="T33" i="3"/>
  <c r="U33" i="3"/>
  <c r="U26" i="3"/>
  <c r="S10" i="3"/>
  <c r="S9" i="3"/>
  <c r="S64" i="3"/>
  <c r="X64" i="3"/>
  <c r="S53" i="3"/>
  <c r="X53" i="3"/>
  <c r="S88" i="3"/>
  <c r="X45" i="3"/>
  <c r="S55" i="3"/>
  <c r="S86" i="3"/>
  <c r="X86" i="3"/>
  <c r="S57" i="3"/>
  <c r="X57" i="3"/>
  <c r="S87" i="3"/>
  <c r="S94" i="3"/>
  <c r="S66" i="3"/>
  <c r="X66" i="3"/>
  <c r="S56" i="3"/>
  <c r="X56" i="3"/>
  <c r="S76" i="3"/>
  <c r="S51" i="3"/>
  <c r="S68" i="3"/>
  <c r="S79" i="3"/>
  <c r="X79" i="3"/>
  <c r="K59" i="3"/>
  <c r="F96" i="3"/>
  <c r="S13" i="3"/>
  <c r="K60" i="3"/>
  <c r="K77" i="3"/>
  <c r="K85" i="3"/>
  <c r="W21" i="3"/>
  <c r="W33" i="3"/>
  <c r="U21" i="3"/>
  <c r="V26" i="3"/>
  <c r="V21" i="3"/>
  <c r="T46" i="3"/>
  <c r="T61" i="3"/>
  <c r="X61" i="3"/>
  <c r="T58" i="3"/>
  <c r="X58" i="3"/>
  <c r="T49" i="3"/>
  <c r="T50" i="3"/>
  <c r="T62" i="3"/>
  <c r="T63" i="3"/>
  <c r="T68" i="3"/>
  <c r="T82" i="3"/>
  <c r="X82" i="3"/>
  <c r="T88" i="3"/>
  <c r="T90" i="3"/>
  <c r="X90" i="3"/>
  <c r="X63" i="3"/>
  <c r="T89" i="3"/>
  <c r="X89" i="3"/>
  <c r="T95" i="3"/>
  <c r="X95" i="3"/>
  <c r="X50" i="3"/>
  <c r="T78" i="3"/>
  <c r="T96" i="3"/>
  <c r="T73" i="3"/>
  <c r="T71" i="3"/>
  <c r="S73" i="3"/>
  <c r="S71" i="3"/>
  <c r="T101" i="3"/>
  <c r="T27" i="3"/>
  <c r="T99" i="3"/>
  <c r="T39" i="3"/>
  <c r="U10" i="3"/>
  <c r="U9" i="3"/>
  <c r="T14" i="3"/>
  <c r="T15" i="3"/>
  <c r="V15" i="3"/>
  <c r="V14" i="3"/>
  <c r="S69" i="3"/>
  <c r="W72" i="3"/>
  <c r="W22" i="3"/>
  <c r="W70" i="3"/>
  <c r="W34" i="3"/>
  <c r="W35" i="3"/>
  <c r="W36" i="3"/>
  <c r="T67" i="3"/>
  <c r="V10" i="3"/>
  <c r="V9" i="3"/>
  <c r="V31" i="3"/>
  <c r="V19" i="3"/>
  <c r="V75" i="3"/>
  <c r="T75" i="3"/>
  <c r="T31" i="3"/>
  <c r="T19" i="3"/>
  <c r="X94" i="3"/>
  <c r="S19" i="3"/>
  <c r="S31" i="3"/>
  <c r="S75" i="3"/>
  <c r="T10" i="3"/>
  <c r="T9" i="3"/>
  <c r="W9" i="3"/>
  <c r="W10" i="3"/>
  <c r="W71" i="3"/>
  <c r="W73" i="3"/>
  <c r="W102" i="3"/>
  <c r="W100" i="3"/>
  <c r="W99" i="3"/>
  <c r="W39" i="3"/>
  <c r="W40" i="3"/>
  <c r="W101" i="3"/>
  <c r="W27" i="3"/>
  <c r="W41" i="3"/>
  <c r="X78" i="3"/>
  <c r="T98" i="3"/>
  <c r="X88" i="3"/>
  <c r="U70" i="3"/>
  <c r="U34" i="3"/>
  <c r="U36" i="3"/>
  <c r="U35" i="3"/>
  <c r="U72" i="3"/>
  <c r="U22" i="3"/>
  <c r="T97" i="3"/>
  <c r="V69" i="3"/>
  <c r="V68" i="3"/>
  <c r="V67" i="3"/>
  <c r="S67" i="3"/>
  <c r="X51" i="3"/>
  <c r="X55" i="3"/>
  <c r="X62" i="3"/>
  <c r="S98" i="3"/>
  <c r="S96" i="3"/>
  <c r="X76" i="3"/>
  <c r="S97" i="3"/>
  <c r="X87" i="3"/>
  <c r="U101" i="3"/>
  <c r="U27" i="3"/>
  <c r="U99" i="3"/>
  <c r="U39" i="3"/>
  <c r="U41" i="3"/>
  <c r="X49" i="3"/>
  <c r="U14" i="3"/>
  <c r="U15" i="3"/>
  <c r="U71" i="3"/>
  <c r="U73" i="3"/>
  <c r="X47" i="3"/>
  <c r="T69" i="3"/>
  <c r="V98" i="3"/>
  <c r="V97" i="3"/>
  <c r="V96" i="3"/>
  <c r="V100" i="3"/>
  <c r="V102" i="3"/>
  <c r="S70" i="3"/>
  <c r="S34" i="3"/>
  <c r="S35" i="3"/>
  <c r="S72" i="3"/>
  <c r="S22" i="3"/>
  <c r="S36" i="3"/>
  <c r="T100" i="3"/>
  <c r="T102" i="3"/>
  <c r="W28" i="3"/>
  <c r="W29" i="3"/>
  <c r="V72" i="3"/>
  <c r="V22" i="3"/>
  <c r="V70" i="3"/>
  <c r="V34" i="3"/>
  <c r="V36" i="3"/>
  <c r="U24" i="3"/>
  <c r="U23" i="3"/>
  <c r="W24" i="3"/>
  <c r="W23" i="3"/>
  <c r="V71" i="3"/>
  <c r="V73" i="3"/>
  <c r="T70" i="3"/>
  <c r="T34" i="3"/>
  <c r="T36" i="3"/>
  <c r="T35" i="3"/>
  <c r="T72" i="3"/>
  <c r="T22" i="3"/>
  <c r="T41" i="3"/>
  <c r="S100" i="3"/>
  <c r="S102" i="3"/>
  <c r="T40" i="3"/>
  <c r="U29" i="3"/>
  <c r="U28" i="3"/>
  <c r="V99" i="3"/>
  <c r="V39" i="3"/>
  <c r="V40" i="3"/>
  <c r="V41" i="3"/>
  <c r="V101" i="3"/>
  <c r="V27" i="3"/>
  <c r="U40" i="3"/>
  <c r="S101" i="3"/>
  <c r="S27" i="3"/>
  <c r="S99" i="3"/>
  <c r="S39" i="3"/>
  <c r="S40" i="3"/>
  <c r="S41" i="3"/>
  <c r="T28" i="3"/>
  <c r="T29" i="3"/>
  <c r="S28" i="3"/>
  <c r="S29" i="3"/>
  <c r="S24" i="3"/>
  <c r="S23" i="3"/>
  <c r="V35" i="3"/>
  <c r="V29" i="3"/>
  <c r="V28" i="3"/>
  <c r="V23" i="3"/>
  <c r="V24" i="3"/>
  <c r="T24" i="3"/>
  <c r="T23" i="3"/>
  <c r="E85" i="2"/>
  <c r="C113" i="2" a="1"/>
  <c r="E113" i="2"/>
  <c r="D113" i="2"/>
  <c r="E52" i="2"/>
  <c r="E72" i="2"/>
  <c r="E76" i="2"/>
  <c r="E105" i="2"/>
  <c r="E109" i="2"/>
  <c r="E118" i="2"/>
  <c r="N45" i="2"/>
  <c r="P44" i="2"/>
  <c r="C113" i="2"/>
  <c r="P105" i="2"/>
  <c r="C80" i="2" a="1"/>
  <c r="E80" i="2"/>
  <c r="D80" i="2"/>
  <c r="C80" i="2"/>
  <c r="P72" i="2"/>
  <c r="P137" i="2"/>
  <c r="P147" i="2"/>
  <c r="F129" i="2"/>
  <c r="F133" i="2"/>
  <c r="M215" i="2"/>
  <c r="P215" i="2"/>
  <c r="P199" i="2"/>
  <c r="D82" i="2"/>
  <c r="D81" i="2"/>
  <c r="C81" i="2"/>
  <c r="F82" i="2"/>
  <c r="D115" i="2"/>
  <c r="D114" i="2"/>
  <c r="C114" i="2"/>
  <c r="F115" i="2"/>
  <c r="P139" i="2"/>
  <c r="P140" i="2" s="1"/>
  <c r="F134" i="2"/>
  <c r="P52" i="2"/>
  <c r="P53" i="2"/>
  <c r="P54" i="2"/>
  <c r="P55" i="2"/>
  <c r="P56" i="2"/>
  <c r="P57" i="2"/>
  <c r="P58" i="2"/>
  <c r="P59" i="2"/>
  <c r="P60" i="2"/>
  <c r="P61" i="2"/>
  <c r="P62" i="2"/>
  <c r="P63" i="2"/>
  <c r="P64" i="2"/>
  <c r="P65" i="2"/>
  <c r="P66" i="2"/>
  <c r="P67" i="2"/>
  <c r="P68" i="2"/>
  <c r="P69" i="2"/>
  <c r="P70" i="2"/>
  <c r="P71" i="2"/>
  <c r="P75" i="2"/>
  <c r="P85" i="2"/>
  <c r="P86" i="2"/>
  <c r="P87" i="2"/>
  <c r="P88" i="2"/>
  <c r="P89" i="2"/>
  <c r="P90" i="2"/>
  <c r="P91" i="2"/>
  <c r="P92" i="2"/>
  <c r="P93" i="2"/>
  <c r="P94" i="2"/>
  <c r="P95" i="2"/>
  <c r="P96" i="2"/>
  <c r="P97" i="2"/>
  <c r="P98" i="2"/>
  <c r="P99" i="2"/>
  <c r="P100" i="2"/>
  <c r="P101" i="2"/>
  <c r="P102" i="2"/>
  <c r="P103" i="2"/>
  <c r="P104" i="2"/>
  <c r="P108" i="2"/>
  <c r="P138" i="2"/>
  <c r="P146" i="2" s="1"/>
  <c r="O215" i="2"/>
  <c r="O52" i="2"/>
  <c r="O53" i="2"/>
  <c r="O54" i="2"/>
  <c r="O55" i="2"/>
  <c r="O56" i="2"/>
  <c r="O57" i="2"/>
  <c r="O58" i="2"/>
  <c r="O59" i="2"/>
  <c r="O60" i="2"/>
  <c r="O61" i="2"/>
  <c r="O62" i="2"/>
  <c r="O63" i="2"/>
  <c r="O64" i="2"/>
  <c r="O65" i="2"/>
  <c r="O66" i="2"/>
  <c r="O67" i="2"/>
  <c r="O68" i="2"/>
  <c r="O69" i="2"/>
  <c r="O70" i="2"/>
  <c r="O71" i="2"/>
  <c r="O75" i="2"/>
  <c r="O85" i="2"/>
  <c r="O86" i="2"/>
  <c r="O87" i="2"/>
  <c r="O88" i="2"/>
  <c r="O89" i="2"/>
  <c r="O90" i="2"/>
  <c r="O91" i="2"/>
  <c r="O92" i="2"/>
  <c r="O93" i="2"/>
  <c r="O94" i="2"/>
  <c r="O95" i="2"/>
  <c r="O96" i="2"/>
  <c r="O97" i="2"/>
  <c r="O98" i="2"/>
  <c r="O99" i="2"/>
  <c r="O100" i="2"/>
  <c r="O101" i="2"/>
  <c r="O102" i="2"/>
  <c r="O103" i="2"/>
  <c r="O104" i="2"/>
  <c r="O108" i="2"/>
  <c r="N215" i="2"/>
  <c r="N199" i="2"/>
  <c r="N140" i="2"/>
  <c r="E73" i="2"/>
  <c r="E74" i="2"/>
  <c r="E106" i="2"/>
  <c r="E107" i="2"/>
  <c r="V121" i="2"/>
  <c r="E75" i="2"/>
  <c r="E108" i="2"/>
  <c r="E119" i="2"/>
  <c r="N46" i="2"/>
  <c r="Q52" i="2"/>
  <c r="N122" i="2"/>
  <c r="N123" i="2"/>
  <c r="P122" i="2"/>
  <c r="P123" i="2"/>
  <c r="P121" i="2"/>
  <c r="P120" i="2"/>
  <c r="O121" i="2"/>
  <c r="O120" i="2"/>
  <c r="E164" i="2"/>
  <c r="E120" i="2"/>
  <c r="E215" i="2"/>
  <c r="E216" i="2"/>
  <c r="E147" i="2"/>
  <c r="E199" i="2"/>
  <c r="P242" i="2"/>
  <c r="P73" i="2"/>
  <c r="P244" i="2"/>
  <c r="P246" i="2"/>
  <c r="P245" i="2"/>
  <c r="P247" i="2"/>
  <c r="O242" i="2"/>
  <c r="O73" i="2"/>
  <c r="O244" i="2"/>
  <c r="O246" i="2"/>
  <c r="O245" i="2"/>
  <c r="O247" i="2"/>
  <c r="V112" i="2"/>
  <c r="V111" i="2"/>
  <c r="V110" i="2"/>
  <c r="E114" i="2"/>
  <c r="E115" i="2"/>
  <c r="C115" i="2"/>
  <c r="Q85" i="2"/>
  <c r="O106" i="2"/>
  <c r="O223" i="2"/>
  <c r="O225" i="2"/>
  <c r="O224" i="2"/>
  <c r="O226" i="2"/>
  <c r="P106" i="2"/>
  <c r="P223" i="2"/>
  <c r="P225" i="2"/>
  <c r="P224" i="2"/>
  <c r="P226" i="2"/>
  <c r="E81" i="2"/>
  <c r="E82" i="2"/>
  <c r="C82" i="2"/>
  <c r="V78" i="2"/>
  <c r="V122" i="2"/>
  <c r="V79" i="2"/>
  <c r="V123" i="2"/>
  <c r="V77" i="2"/>
  <c r="AD85" i="2"/>
  <c r="AD86" i="2"/>
  <c r="AD87" i="2"/>
  <c r="AD88" i="2"/>
  <c r="AD89" i="2"/>
  <c r="AD90" i="2"/>
  <c r="AD91" i="2"/>
  <c r="AD92" i="2"/>
  <c r="AD93" i="2"/>
  <c r="AD94" i="2"/>
  <c r="AD95" i="2"/>
  <c r="AD96" i="2"/>
  <c r="AD97" i="2"/>
  <c r="AD98" i="2"/>
  <c r="AD99" i="2"/>
  <c r="AD100" i="2"/>
  <c r="AD101" i="2"/>
  <c r="AD102" i="2"/>
  <c r="AD103" i="2"/>
  <c r="AD104" i="2"/>
  <c r="T113" i="2" a="1"/>
  <c r="V113" i="2"/>
  <c r="U113" i="2"/>
  <c r="T113" i="2"/>
  <c r="AG105" i="2"/>
  <c r="AG137" i="2"/>
  <c r="AG268" i="2"/>
  <c r="AG199" i="2"/>
  <c r="U115" i="2"/>
  <c r="U114" i="2"/>
  <c r="T114" i="2"/>
  <c r="W115" i="2"/>
  <c r="AG139" i="2"/>
  <c r="AG141" i="2" s="1"/>
  <c r="AG198" i="2" s="1"/>
  <c r="W134" i="2"/>
  <c r="AG85" i="2"/>
  <c r="AG86" i="2"/>
  <c r="AG87" i="2"/>
  <c r="AG88" i="2"/>
  <c r="AG89" i="2"/>
  <c r="AG90" i="2"/>
  <c r="AG91" i="2"/>
  <c r="AG92" i="2"/>
  <c r="AG93" i="2"/>
  <c r="AG94" i="2"/>
  <c r="AG95" i="2"/>
  <c r="AG96" i="2"/>
  <c r="AG97" i="2"/>
  <c r="AG98" i="2"/>
  <c r="AG99" i="2"/>
  <c r="AG100" i="2"/>
  <c r="AG101" i="2"/>
  <c r="AG102" i="2"/>
  <c r="AG103" i="2"/>
  <c r="AG104" i="2"/>
  <c r="AG108" i="2"/>
  <c r="AG138" i="2"/>
  <c r="AG267" i="2" s="1"/>
  <c r="AF105" i="2"/>
  <c r="AF137" i="2"/>
  <c r="AF268" i="2"/>
  <c r="AF199" i="2"/>
  <c r="AF139" i="2"/>
  <c r="AF140" i="2" s="1"/>
  <c r="AF85" i="2"/>
  <c r="AF86" i="2"/>
  <c r="AF87" i="2"/>
  <c r="AF88" i="2"/>
  <c r="AF89" i="2"/>
  <c r="AF90" i="2"/>
  <c r="AF91" i="2"/>
  <c r="AF92" i="2"/>
  <c r="AF93" i="2"/>
  <c r="AF94" i="2"/>
  <c r="AF95" i="2"/>
  <c r="AF96" i="2"/>
  <c r="AF97" i="2"/>
  <c r="AF98" i="2"/>
  <c r="AF99" i="2"/>
  <c r="AF100" i="2"/>
  <c r="AF101" i="2"/>
  <c r="AF102" i="2"/>
  <c r="AF103" i="2"/>
  <c r="AF104" i="2"/>
  <c r="AF108" i="2"/>
  <c r="AF138" i="2"/>
  <c r="AF172" i="2" s="1"/>
  <c r="AE85" i="2"/>
  <c r="AE86" i="2"/>
  <c r="AE87" i="2"/>
  <c r="AE88" i="2"/>
  <c r="AE89" i="2"/>
  <c r="AE90" i="2"/>
  <c r="AE91" i="2"/>
  <c r="AE92" i="2"/>
  <c r="AE93" i="2"/>
  <c r="AE94" i="2"/>
  <c r="AE95" i="2"/>
  <c r="AE96" i="2"/>
  <c r="AE97" i="2"/>
  <c r="AE98" i="2"/>
  <c r="AE99" i="2"/>
  <c r="AE100" i="2"/>
  <c r="AE101" i="2"/>
  <c r="AE102" i="2"/>
  <c r="AE103" i="2"/>
  <c r="AE104" i="2"/>
  <c r="AE105" i="2"/>
  <c r="AE137" i="2"/>
  <c r="AE106" i="2"/>
  <c r="AE139" i="2"/>
  <c r="AE140" i="2" s="1"/>
  <c r="AE108" i="2"/>
  <c r="AE138" i="2"/>
  <c r="AE267" i="2" s="1"/>
  <c r="AD105" i="2"/>
  <c r="AD137" i="2"/>
  <c r="AD106" i="2"/>
  <c r="AD139" i="2"/>
  <c r="AD140" i="2" s="1"/>
  <c r="AD108" i="2"/>
  <c r="AD138" i="2"/>
  <c r="AD267" i="2" s="1"/>
  <c r="AD283" i="2"/>
  <c r="AD218" i="2"/>
  <c r="AD113" i="2"/>
  <c r="AD114" i="2"/>
  <c r="AE113" i="2"/>
  <c r="AE114" i="2"/>
  <c r="AG106" i="2"/>
  <c r="AG114" i="2"/>
  <c r="AD268" i="2"/>
  <c r="AD199" i="2"/>
  <c r="AD281" i="2"/>
  <c r="AD216" i="2"/>
  <c r="AD282" i="2"/>
  <c r="AD217" i="2"/>
  <c r="AF106" i="2"/>
  <c r="AF114" i="2"/>
  <c r="AE283" i="2"/>
  <c r="AE218" i="2"/>
  <c r="AE282" i="2"/>
  <c r="AE217" i="2"/>
  <c r="AE281" i="2"/>
  <c r="AE216" i="2"/>
  <c r="AG113" i="2"/>
  <c r="AG281" i="2"/>
  <c r="AG216" i="2"/>
  <c r="AF113" i="2"/>
  <c r="AE268" i="2"/>
  <c r="AE199" i="2"/>
  <c r="AF281" i="2"/>
  <c r="AF216" i="2"/>
  <c r="AG283" i="2"/>
  <c r="AG218" i="2"/>
  <c r="AG282" i="2"/>
  <c r="AG217" i="2"/>
  <c r="AF282" i="2"/>
  <c r="AF217" i="2"/>
  <c r="AF283" i="2"/>
  <c r="AF218" i="2"/>
  <c r="O110" i="2"/>
  <c r="P110" i="2"/>
  <c r="P109" i="2"/>
  <c r="O164" i="2"/>
  <c r="O216" i="2"/>
  <c r="P77" i="2"/>
  <c r="O77" i="2"/>
  <c r="P76" i="2"/>
  <c r="P164" i="2"/>
  <c r="P216" i="2"/>
  <c r="O165" i="2"/>
  <c r="O217" i="2"/>
  <c r="P166" i="2"/>
  <c r="P218" i="2"/>
  <c r="P165" i="2"/>
  <c r="P217" i="2"/>
  <c r="O166" i="2"/>
  <c r="O218" i="2"/>
  <c r="O249" i="2"/>
  <c r="O251" i="2"/>
  <c r="O250" i="2"/>
  <c r="O252" i="2"/>
  <c r="P249" i="2"/>
  <c r="P251" i="2"/>
  <c r="P250" i="2"/>
  <c r="P252" i="2"/>
  <c r="P233" i="2"/>
  <c r="P234" i="2" s="1"/>
  <c r="P229" i="2"/>
  <c r="P230" i="2" s="1"/>
  <c r="N76" i="2"/>
  <c r="N77" i="2"/>
  <c r="N110" i="2"/>
  <c r="N109" i="2"/>
  <c r="N218" i="2"/>
  <c r="N217" i="2"/>
  <c r="N216" i="2"/>
  <c r="N249" i="2"/>
  <c r="N251" i="2"/>
  <c r="N250" i="2"/>
  <c r="N252" i="2"/>
  <c r="AG223" i="2"/>
  <c r="AG229" i="2"/>
  <c r="AG230" i="2" s="1"/>
  <c r="AG233" i="2"/>
  <c r="AG234" i="2" s="1"/>
  <c r="AF223" i="2"/>
  <c r="AF229" i="2"/>
  <c r="AF230" i="2" s="1"/>
  <c r="AE223" i="2"/>
  <c r="AE229" i="2"/>
  <c r="AE235" i="2" s="1"/>
  <c r="AE230" i="2"/>
  <c r="AD223" i="2"/>
  <c r="AD229" i="2"/>
  <c r="AD230" i="2" s="1"/>
  <c r="AF166" i="2"/>
  <c r="AF192" i="2"/>
  <c r="AF147" i="2"/>
  <c r="AF165" i="2"/>
  <c r="AF191" i="2"/>
  <c r="AG147" i="2"/>
  <c r="AG173" i="2"/>
  <c r="AF173" i="2"/>
  <c r="AG165" i="2"/>
  <c r="AG166" i="2"/>
  <c r="AF190" i="2"/>
  <c r="AF109" i="2"/>
  <c r="AF111" i="2"/>
  <c r="AG109" i="2"/>
  <c r="AG111" i="2"/>
  <c r="AG164" i="2"/>
  <c r="AG191" i="2"/>
  <c r="AG192" i="2"/>
  <c r="AF164" i="2"/>
  <c r="AG190" i="2"/>
  <c r="AF225" i="2"/>
  <c r="AF224" i="2"/>
  <c r="AF226" i="2"/>
  <c r="AG225" i="2"/>
  <c r="AG224" i="2"/>
  <c r="AG226" i="2"/>
  <c r="AE225" i="2"/>
  <c r="AE224" i="2"/>
  <c r="AE226" i="2"/>
  <c r="AD225" i="2"/>
  <c r="AD224" i="2"/>
  <c r="AD226" i="2"/>
  <c r="AH92" i="2"/>
  <c r="AH94" i="2"/>
  <c r="AH87" i="2"/>
  <c r="AH103" i="2"/>
  <c r="AH96" i="2"/>
  <c r="AH101" i="2"/>
  <c r="AH99" i="2"/>
  <c r="AH97" i="2"/>
  <c r="AH98" i="2"/>
  <c r="AH91" i="2"/>
  <c r="AH93" i="2"/>
  <c r="AH86" i="2"/>
  <c r="AH89" i="2"/>
  <c r="AH102" i="2"/>
  <c r="AH88" i="2"/>
  <c r="AH95" i="2"/>
  <c r="AH100" i="2"/>
  <c r="AH104" i="2"/>
  <c r="V114" i="2"/>
  <c r="AH90" i="2"/>
  <c r="AH85" i="2"/>
  <c r="AE109" i="2"/>
  <c r="AD109" i="2"/>
  <c r="AD111" i="2"/>
  <c r="AD112" i="2"/>
  <c r="AD110" i="2"/>
  <c r="AD166" i="2"/>
  <c r="AD165" i="2"/>
  <c r="T115" i="2"/>
  <c r="AG112" i="2"/>
  <c r="V115" i="2"/>
  <c r="AE111" i="2"/>
  <c r="AE110" i="2"/>
  <c r="AE112" i="2"/>
  <c r="AE190" i="2"/>
  <c r="AE165" i="2"/>
  <c r="AE192" i="2"/>
  <c r="AD173" i="2"/>
  <c r="AD164" i="2"/>
  <c r="AD190" i="2"/>
  <c r="AD192" i="2"/>
  <c r="AD191" i="2"/>
  <c r="AG110" i="2"/>
  <c r="AF112" i="2"/>
  <c r="AE164" i="2"/>
  <c r="AE173" i="2"/>
  <c r="AE191" i="2"/>
  <c r="AE166" i="2"/>
  <c r="AD147" i="2"/>
  <c r="AD146" i="2"/>
  <c r="AD157" i="2" s="1"/>
  <c r="AD158" i="2" s="1"/>
  <c r="AE147" i="2"/>
  <c r="AF110" i="2"/>
  <c r="AI85" i="2"/>
  <c r="AJ85" i="2"/>
  <c r="AK85" i="2"/>
  <c r="AL85" i="2"/>
  <c r="AI86" i="2"/>
  <c r="AJ86" i="2"/>
  <c r="AK86" i="2"/>
  <c r="AL86" i="2"/>
  <c r="AI87" i="2"/>
  <c r="AJ87" i="2"/>
  <c r="AK87" i="2"/>
  <c r="AL87" i="2"/>
  <c r="AI88" i="2"/>
  <c r="AJ88" i="2"/>
  <c r="AK88" i="2"/>
  <c r="AL88" i="2"/>
  <c r="AI89" i="2"/>
  <c r="AJ89" i="2"/>
  <c r="AK89" i="2"/>
  <c r="AL89" i="2"/>
  <c r="AI90" i="2"/>
  <c r="AJ90" i="2"/>
  <c r="AK90" i="2"/>
  <c r="AL90" i="2"/>
  <c r="AI91" i="2"/>
  <c r="AJ91" i="2"/>
  <c r="AK91" i="2"/>
  <c r="AL91" i="2"/>
  <c r="AI92" i="2"/>
  <c r="AJ92" i="2"/>
  <c r="AK92" i="2"/>
  <c r="AL92" i="2"/>
  <c r="AI93" i="2"/>
  <c r="AJ93" i="2"/>
  <c r="AK93" i="2"/>
  <c r="AL93" i="2"/>
  <c r="AI94" i="2"/>
  <c r="AJ94" i="2"/>
  <c r="AK94" i="2"/>
  <c r="AL94" i="2"/>
  <c r="AI95" i="2"/>
  <c r="AJ95" i="2"/>
  <c r="AK95" i="2"/>
  <c r="AL95" i="2"/>
  <c r="AI96" i="2"/>
  <c r="AJ96" i="2"/>
  <c r="AK96" i="2"/>
  <c r="AL96" i="2"/>
  <c r="AI97" i="2"/>
  <c r="AJ97" i="2"/>
  <c r="AK97" i="2"/>
  <c r="AL97" i="2"/>
  <c r="AI98" i="2"/>
  <c r="AJ98" i="2"/>
  <c r="AK98" i="2"/>
  <c r="AL98" i="2"/>
  <c r="AI99" i="2"/>
  <c r="AJ99" i="2"/>
  <c r="AK99" i="2"/>
  <c r="AL99" i="2"/>
  <c r="AI100" i="2"/>
  <c r="AJ100" i="2"/>
  <c r="AK100" i="2"/>
  <c r="AL100" i="2"/>
  <c r="AI101" i="2"/>
  <c r="AJ101" i="2"/>
  <c r="AK101" i="2"/>
  <c r="AL101" i="2"/>
  <c r="AI102" i="2"/>
  <c r="AJ102" i="2"/>
  <c r="AK102" i="2"/>
  <c r="AL102" i="2"/>
  <c r="AI103" i="2"/>
  <c r="AJ103" i="2"/>
  <c r="AK103" i="2"/>
  <c r="AL103" i="2"/>
  <c r="AI104" i="2"/>
  <c r="AJ104" i="2"/>
  <c r="AK104" i="2"/>
  <c r="AL104" i="2"/>
  <c r="AD120" i="2"/>
  <c r="AD126" i="2"/>
  <c r="AG120" i="2"/>
  <c r="AG126" i="2"/>
  <c r="AF120" i="2"/>
  <c r="AF126" i="2"/>
  <c r="AE120" i="2"/>
  <c r="AE126" i="2"/>
  <c r="AG121" i="2"/>
  <c r="AG127" i="2"/>
  <c r="AF121" i="2"/>
  <c r="AF127" i="2"/>
  <c r="AE121" i="2"/>
  <c r="AE127" i="2"/>
  <c r="AD121" i="2"/>
  <c r="AD127" i="2"/>
  <c r="F135" i="2"/>
  <c r="B137" i="2"/>
  <c r="S137" i="2"/>
  <c r="AG235" i="2"/>
  <c r="P231" i="2" l="1"/>
  <c r="P232" i="2" s="1"/>
  <c r="M36" i="2"/>
  <c r="P235" i="2"/>
  <c r="O235" i="2"/>
  <c r="O230" i="2"/>
  <c r="O231" i="2"/>
  <c r="O232" i="2" s="1"/>
  <c r="N231" i="2"/>
  <c r="N232" i="2" s="1"/>
  <c r="N230" i="2"/>
  <c r="N235" i="2" s="1"/>
  <c r="AF235" i="2"/>
  <c r="AE231" i="2"/>
  <c r="AE232" i="2" s="1"/>
  <c r="P203" i="2"/>
  <c r="AF203" i="2"/>
  <c r="AF272" i="2" s="1"/>
  <c r="AF231" i="2"/>
  <c r="AF232" i="2" s="1"/>
  <c r="AG203" i="2"/>
  <c r="AG272" i="2" s="1"/>
  <c r="AG274" i="2" s="1"/>
  <c r="M203" i="2"/>
  <c r="AD235" i="2"/>
  <c r="AD231" i="2"/>
  <c r="AD232" i="2" s="1"/>
  <c r="AG231" i="2"/>
  <c r="AG232" i="2" s="1"/>
  <c r="AG146" i="2"/>
  <c r="AG140" i="2"/>
  <c r="AG172" i="2"/>
  <c r="AG183" i="2" s="1"/>
  <c r="AG184" i="2" s="1"/>
  <c r="AE146" i="2"/>
  <c r="AE172" i="2"/>
  <c r="AE179" i="2" s="1"/>
  <c r="AG270" i="2"/>
  <c r="AG278" i="2"/>
  <c r="AG279" i="2" s="1"/>
  <c r="AG269" i="2"/>
  <c r="AG201" i="2"/>
  <c r="AG200" i="2"/>
  <c r="AG209" i="2"/>
  <c r="AG210" i="2" s="1"/>
  <c r="AF179" i="2"/>
  <c r="AF267" i="2"/>
  <c r="AF146" i="2"/>
  <c r="AF157" i="2" s="1"/>
  <c r="AF158" i="2" s="1"/>
  <c r="AF183" i="2"/>
  <c r="AF184" i="2" s="1"/>
  <c r="AF141" i="2"/>
  <c r="AF198" i="2" s="1"/>
  <c r="AE269" i="2"/>
  <c r="AE270" i="2"/>
  <c r="AE153" i="2"/>
  <c r="AE183" i="2"/>
  <c r="AE187" i="2" s="1"/>
  <c r="AE188" i="2" s="1"/>
  <c r="AE141" i="2"/>
  <c r="AE198" i="2" s="1"/>
  <c r="AE274" i="2"/>
  <c r="AE278" i="2"/>
  <c r="AE279" i="2" s="1"/>
  <c r="AE157" i="2"/>
  <c r="AE158" i="2" s="1"/>
  <c r="AD274" i="2"/>
  <c r="AD269" i="2"/>
  <c r="AD270" i="2"/>
  <c r="AD278" i="2"/>
  <c r="AD279" i="2" s="1"/>
  <c r="AD153" i="2"/>
  <c r="AD172" i="2"/>
  <c r="AD141" i="2"/>
  <c r="AD198" i="2" s="1"/>
  <c r="O72" i="2"/>
  <c r="O76" i="2" s="1"/>
  <c r="O74" i="2"/>
  <c r="O107" i="2"/>
  <c r="M223" i="2"/>
  <c r="M224" i="2" s="1"/>
  <c r="M107" i="2"/>
  <c r="P141" i="2"/>
  <c r="P198" i="2" s="1"/>
  <c r="P205" i="2"/>
  <c r="P157" i="2"/>
  <c r="P158" i="2" s="1"/>
  <c r="P148" i="2"/>
  <c r="P149" i="2"/>
  <c r="P153" i="2"/>
  <c r="P201" i="2"/>
  <c r="P200" i="2"/>
  <c r="P209" i="2"/>
  <c r="P210" i="2" s="1"/>
  <c r="N148" i="2"/>
  <c r="N149" i="2"/>
  <c r="N157" i="2"/>
  <c r="N158" i="2" s="1"/>
  <c r="N153" i="2"/>
  <c r="N141" i="2"/>
  <c r="N198" i="2" s="1"/>
  <c r="M110" i="2"/>
  <c r="M166" i="2"/>
  <c r="M218" i="2" s="1"/>
  <c r="M240" i="2"/>
  <c r="M164" i="2"/>
  <c r="M216" i="2" s="1"/>
  <c r="M138" i="2"/>
  <c r="M146" i="2" s="1"/>
  <c r="M225" i="2"/>
  <c r="M226" i="2" s="1"/>
  <c r="M165" i="2"/>
  <c r="M217" i="2" s="1"/>
  <c r="M137" i="2"/>
  <c r="M147" i="2" s="1"/>
  <c r="M77" i="2"/>
  <c r="M233" i="2"/>
  <c r="M234" i="2" s="1"/>
  <c r="M244" i="2"/>
  <c r="M249" i="2" s="1"/>
  <c r="M251" i="2" s="1"/>
  <c r="M144" i="2"/>
  <c r="M139" i="2"/>
  <c r="M229" i="2"/>
  <c r="M250" i="2"/>
  <c r="O105" i="2"/>
  <c r="M196" i="2"/>
  <c r="M170" i="2"/>
  <c r="O50" i="2"/>
  <c r="M109" i="2"/>
  <c r="O138" i="2"/>
  <c r="O146" i="2" s="1"/>
  <c r="AG205" i="2" l="1"/>
  <c r="AG207" i="2" s="1"/>
  <c r="AG208" i="2" s="1"/>
  <c r="AG202" i="2"/>
  <c r="AG179" i="2"/>
  <c r="AG153" i="2"/>
  <c r="AG157" i="2"/>
  <c r="AG158" i="2" s="1"/>
  <c r="AE180" i="2"/>
  <c r="AE186" i="2"/>
  <c r="AE185" i="2"/>
  <c r="AG148" i="2"/>
  <c r="AG174" i="2"/>
  <c r="AG275" i="2"/>
  <c r="AG276" i="2"/>
  <c r="AG277" i="2" s="1"/>
  <c r="AG175" i="2"/>
  <c r="AG176" i="2" s="1"/>
  <c r="AG149" i="2"/>
  <c r="AG150" i="2" s="1"/>
  <c r="AG271" i="2"/>
  <c r="AF180" i="2"/>
  <c r="AF181" i="2"/>
  <c r="AF182" i="2" s="1"/>
  <c r="AF187" i="2"/>
  <c r="AF188" i="2" s="1"/>
  <c r="AF186" i="2"/>
  <c r="AF185" i="2"/>
  <c r="AF201" i="2"/>
  <c r="AF200" i="2"/>
  <c r="AF205" i="2"/>
  <c r="AF153" i="2"/>
  <c r="AF270" i="2"/>
  <c r="AF269" i="2"/>
  <c r="AF278" i="2"/>
  <c r="AF279" i="2" s="1"/>
  <c r="AF274" i="2"/>
  <c r="AF209" i="2"/>
  <c r="AF210" i="2" s="1"/>
  <c r="AE200" i="2"/>
  <c r="AE201" i="2"/>
  <c r="AE202" i="2" s="1"/>
  <c r="AE148" i="2"/>
  <c r="AE174" i="2"/>
  <c r="AE209" i="2"/>
  <c r="AE210" i="2" s="1"/>
  <c r="AE271" i="2"/>
  <c r="AE149" i="2"/>
  <c r="AE150" i="2" s="1"/>
  <c r="AE175" i="2"/>
  <c r="AE176" i="2" s="1"/>
  <c r="AE184" i="2"/>
  <c r="AE181" i="2"/>
  <c r="AE182" i="2" s="1"/>
  <c r="AE276" i="2"/>
  <c r="AE277" i="2" s="1"/>
  <c r="AE275" i="2"/>
  <c r="AE159" i="2"/>
  <c r="AE160" i="2"/>
  <c r="AE155" i="2"/>
  <c r="AE156" i="2" s="1"/>
  <c r="AE161" i="2"/>
  <c r="AE162" i="2" s="1"/>
  <c r="AE154" i="2"/>
  <c r="AE205" i="2"/>
  <c r="AD201" i="2"/>
  <c r="AD205" i="2"/>
  <c r="AD200" i="2"/>
  <c r="AD175" i="2"/>
  <c r="AD176" i="2" s="1"/>
  <c r="AD271" i="2"/>
  <c r="AD149" i="2"/>
  <c r="AD179" i="2"/>
  <c r="AD183" i="2"/>
  <c r="AD184" i="2" s="1"/>
  <c r="AD159" i="2"/>
  <c r="AD161" i="2"/>
  <c r="AD162" i="2" s="1"/>
  <c r="AD155" i="2"/>
  <c r="AD156" i="2" s="1"/>
  <c r="AD154" i="2"/>
  <c r="AD160" i="2"/>
  <c r="AD275" i="2"/>
  <c r="AD276" i="2"/>
  <c r="AD277" i="2" s="1"/>
  <c r="AD148" i="2"/>
  <c r="AD174" i="2"/>
  <c r="AD209" i="2"/>
  <c r="AD210" i="2" s="1"/>
  <c r="M252" i="2"/>
  <c r="P150" i="2"/>
  <c r="P202" i="2"/>
  <c r="P155" i="2"/>
  <c r="P156" i="2" s="1"/>
  <c r="P161" i="2"/>
  <c r="P162" i="2" s="1"/>
  <c r="P160" i="2"/>
  <c r="P154" i="2"/>
  <c r="P159" i="2"/>
  <c r="P207" i="2"/>
  <c r="P208" i="2" s="1"/>
  <c r="P206" i="2"/>
  <c r="P212" i="2" s="1"/>
  <c r="P213" i="2"/>
  <c r="P211" i="2"/>
  <c r="N201" i="2"/>
  <c r="N200" i="2"/>
  <c r="N209" i="2"/>
  <c r="N210" i="2" s="1"/>
  <c r="N155" i="2"/>
  <c r="N156" i="2" s="1"/>
  <c r="N161" i="2"/>
  <c r="N162" i="2" s="1"/>
  <c r="N154" i="2"/>
  <c r="N160" i="2"/>
  <c r="N159" i="2"/>
  <c r="N205" i="2"/>
  <c r="N150" i="2"/>
  <c r="O139" i="2"/>
  <c r="M246" i="2"/>
  <c r="M247" i="2" s="1"/>
  <c r="M141" i="2"/>
  <c r="M198" i="2" s="1"/>
  <c r="M140" i="2"/>
  <c r="M245" i="2"/>
  <c r="O109" i="2"/>
  <c r="O137" i="2"/>
  <c r="O147" i="2" s="1"/>
  <c r="O144" i="2"/>
  <c r="O196" i="2"/>
  <c r="O84" i="2"/>
  <c r="O240" i="2"/>
  <c r="O221" i="2"/>
  <c r="O170" i="2"/>
  <c r="M231" i="2"/>
  <c r="M232" i="2" s="1"/>
  <c r="M230" i="2"/>
  <c r="M235" i="2" s="1"/>
  <c r="M149" i="2"/>
  <c r="M148" i="2"/>
  <c r="M157" i="2"/>
  <c r="M158" i="2" s="1"/>
  <c r="M199" i="2"/>
  <c r="M153" i="2"/>
  <c r="P214" i="2" l="1"/>
  <c r="AG213" i="2"/>
  <c r="AG206" i="2"/>
  <c r="AG211" i="2" s="1"/>
  <c r="AG154" i="2"/>
  <c r="AG161" i="2"/>
  <c r="AG162" i="2" s="1"/>
  <c r="AG160" i="2"/>
  <c r="AG159" i="2"/>
  <c r="AG155" i="2"/>
  <c r="AG156" i="2" s="1"/>
  <c r="AG187" i="2"/>
  <c r="AG188" i="2" s="1"/>
  <c r="AG185" i="2"/>
  <c r="AG186" i="2"/>
  <c r="AG180" i="2"/>
  <c r="AG181" i="2"/>
  <c r="AG182" i="2" s="1"/>
  <c r="AF202" i="2"/>
  <c r="AF213" i="2"/>
  <c r="AF207" i="2"/>
  <c r="AF208" i="2" s="1"/>
  <c r="AF206" i="2"/>
  <c r="AF212" i="2" s="1"/>
  <c r="AF148" i="2"/>
  <c r="AF174" i="2"/>
  <c r="AF271" i="2"/>
  <c r="AF175" i="2"/>
  <c r="AF149" i="2"/>
  <c r="AF150" i="2" s="1"/>
  <c r="AF276" i="2"/>
  <c r="AF277" i="2" s="1"/>
  <c r="AF275" i="2"/>
  <c r="AF161" i="2"/>
  <c r="AF162" i="2" s="1"/>
  <c r="AF160" i="2"/>
  <c r="AF159" i="2"/>
  <c r="AF154" i="2"/>
  <c r="AF155" i="2"/>
  <c r="AF156" i="2" s="1"/>
  <c r="AE213" i="2"/>
  <c r="AE207" i="2"/>
  <c r="AE208" i="2" s="1"/>
  <c r="AE206" i="2"/>
  <c r="AE212" i="2" s="1"/>
  <c r="AD150" i="2"/>
  <c r="AD207" i="2"/>
  <c r="AD208" i="2" s="1"/>
  <c r="AD206" i="2"/>
  <c r="AD212" i="2" s="1"/>
  <c r="AD213" i="2"/>
  <c r="AD214" i="2" s="1"/>
  <c r="AD187" i="2"/>
  <c r="AD188" i="2" s="1"/>
  <c r="AD180" i="2"/>
  <c r="AD181" i="2"/>
  <c r="AD182" i="2" s="1"/>
  <c r="AD185" i="2"/>
  <c r="AD186" i="2"/>
  <c r="AD202" i="2"/>
  <c r="N213" i="2"/>
  <c r="N207" i="2"/>
  <c r="N208" i="2" s="1"/>
  <c r="N206" i="2"/>
  <c r="N211" i="2" s="1"/>
  <c r="N202" i="2"/>
  <c r="O140" i="2"/>
  <c r="O141" i="2"/>
  <c r="O198" i="2" s="1"/>
  <c r="M150" i="2"/>
  <c r="O199" i="2"/>
  <c r="O148" i="2"/>
  <c r="O157" i="2"/>
  <c r="O158" i="2" s="1"/>
  <c r="O149" i="2"/>
  <c r="O153" i="2"/>
  <c r="M159" i="2"/>
  <c r="M155" i="2"/>
  <c r="M156" i="2" s="1"/>
  <c r="M161" i="2"/>
  <c r="M162" i="2" s="1"/>
  <c r="M160" i="2"/>
  <c r="M154" i="2"/>
  <c r="M201" i="2"/>
  <c r="M205" i="2"/>
  <c r="M200" i="2"/>
  <c r="M209" i="2"/>
  <c r="M210" i="2" s="1"/>
  <c r="AE211" i="2" l="1"/>
  <c r="AE214" i="2"/>
  <c r="AG214" i="2"/>
  <c r="AF211" i="2"/>
  <c r="N212" i="2"/>
  <c r="AD211" i="2"/>
  <c r="AF214" i="2"/>
  <c r="AG212" i="2"/>
  <c r="N214" i="2"/>
  <c r="AF176" i="2"/>
  <c r="M202" i="2"/>
  <c r="O154" i="2"/>
  <c r="O155" i="2"/>
  <c r="O156" i="2" s="1"/>
  <c r="O160" i="2"/>
  <c r="O159" i="2"/>
  <c r="O161" i="2"/>
  <c r="O162" i="2" s="1"/>
  <c r="O209" i="2"/>
  <c r="O210" i="2" s="1"/>
  <c r="O200" i="2"/>
  <c r="O205" i="2"/>
  <c r="O201" i="2"/>
  <c r="M213" i="2"/>
  <c r="M206" i="2"/>
  <c r="M212" i="2" s="1"/>
  <c r="M207" i="2"/>
  <c r="M208" i="2" s="1"/>
  <c r="M211" i="2"/>
  <c r="O150" i="2"/>
  <c r="M214" i="2" l="1"/>
  <c r="O202" i="2"/>
  <c r="O207" i="2"/>
  <c r="O208" i="2" s="1"/>
  <c r="O213" i="2"/>
  <c r="O206" i="2"/>
  <c r="O212" i="2" s="1"/>
  <c r="O211" i="2" l="1"/>
  <c r="O214" i="2"/>
</calcChain>
</file>

<file path=xl/comments1.xml><?xml version="1.0" encoding="utf-8"?>
<comments xmlns="http://schemas.openxmlformats.org/spreadsheetml/2006/main">
  <authors>
    <author>Reviewer</author>
    <author>Will</author>
    <author>Will Hopkins</author>
  </authors>
  <commentList>
    <comment ref="B3" authorId="0" shapeId="0">
      <text>
        <r>
          <rPr>
            <sz val="8"/>
            <color indexed="81"/>
            <rFont val="Tahoma"/>
            <family val="2"/>
          </rPr>
          <t>I strongly advise you to clear any log-transformed values of missing data, save the spreadsheet as a template, then save copies for each of the custom effects that you want to investigate. You can then clear individual values of the custom effects and/or delete whole rows with the missing values without compromising the analyses of other custom effects that do not involve missing values.</t>
        </r>
      </text>
    </comment>
    <comment ref="B4" authorId="1" shapeId="0">
      <text>
        <r>
          <rPr>
            <sz val="8"/>
            <color indexed="81"/>
            <rFont val="Tahoma"/>
            <family val="2"/>
          </rPr>
          <t>Hopkins WG (2017).  Spreadsheets for analysis of controlled trials,  crossovers and time series. Sportscience 21, 1-4 (sportsci.org/2017/wghxls.htm).</t>
        </r>
      </text>
    </comment>
    <comment ref="F4" authorId="1" shapeId="0">
      <text>
        <r>
          <rPr>
            <b/>
            <sz val="9"/>
            <color indexed="81"/>
            <rFont val="Tahoma"/>
            <family val="2"/>
          </rPr>
          <t>Nov:</t>
        </r>
        <r>
          <rPr>
            <sz val="9"/>
            <color indexed="81"/>
            <rFont val="Tahoma"/>
            <family val="2"/>
          </rPr>
          <t xml:space="preserve"> Fixed a bug that gave negative SE when a negative mean change in a mediator was inserted in the cell for Effect of delta predictor.</t>
        </r>
        <r>
          <rPr>
            <b/>
            <sz val="9"/>
            <color indexed="81"/>
            <rFont val="Tahoma"/>
            <family val="2"/>
          </rPr>
          <t xml:space="preserve">
Feb:</t>
        </r>
        <r>
          <rPr>
            <sz val="9"/>
            <color indexed="81"/>
            <rFont val="Tahoma"/>
            <family val="2"/>
          </rPr>
          <t xml:space="preserve"> </t>
        </r>
        <r>
          <rPr>
            <i/>
            <sz val="9"/>
            <color indexed="81"/>
            <rFont val="Tahoma"/>
            <family val="2"/>
          </rPr>
          <t>Confidence</t>
        </r>
        <r>
          <rPr>
            <sz val="9"/>
            <color indexed="81"/>
            <rFont val="Tahoma"/>
            <family val="2"/>
          </rPr>
          <t xml:space="preserve"> replaced by </t>
        </r>
        <r>
          <rPr>
            <i/>
            <sz val="9"/>
            <color indexed="81"/>
            <rFont val="Tahoma"/>
            <family val="2"/>
          </rPr>
          <t>compatibility.</t>
        </r>
        <r>
          <rPr>
            <sz val="9"/>
            <color indexed="81"/>
            <rFont val="Tahoma"/>
            <family val="2"/>
          </rPr>
          <t xml:space="preserve"> Compatibility limits are now shown for the chosen compatibility level, regardless of the number of independent decisions. Comments in these cells and those immediately below them (threshold chances for non-clinical decisions, maximum risk of harm, minimum chance of benefit) now explain decisions in terms of hypothesis tests and error rates.</t>
        </r>
      </text>
    </comment>
    <comment ref="G4" authorId="1" shapeId="0">
      <text>
        <r>
          <rPr>
            <b/>
            <sz val="9"/>
            <color indexed="81"/>
            <rFont val="Tahoma"/>
            <family val="2"/>
          </rPr>
          <t>April:</t>
        </r>
        <r>
          <rPr>
            <sz val="9"/>
            <color indexed="81"/>
            <rFont val="Tahoma"/>
            <family val="2"/>
          </rPr>
          <t xml:space="preserve"> </t>
        </r>
        <r>
          <rPr>
            <i/>
            <sz val="9"/>
            <color indexed="81"/>
            <rFont val="Tahoma"/>
            <family val="2"/>
          </rPr>
          <t>Confidence</t>
        </r>
        <r>
          <rPr>
            <sz val="9"/>
            <color indexed="81"/>
            <rFont val="Tahoma"/>
            <family val="2"/>
          </rPr>
          <t xml:space="preserve"> limits have been changed to </t>
        </r>
        <r>
          <rPr>
            <i/>
            <sz val="9"/>
            <color indexed="81"/>
            <rFont val="Tahoma"/>
            <family val="2"/>
          </rPr>
          <t>compatibility</t>
        </r>
        <r>
          <rPr>
            <sz val="9"/>
            <color indexed="81"/>
            <rFont val="Tahoma"/>
            <family val="2"/>
          </rPr>
          <t xml:space="preserve"> limits. </t>
        </r>
        <r>
          <rPr>
            <i/>
            <sz val="9"/>
            <color indexed="81"/>
            <rFont val="Tahoma"/>
            <family val="2"/>
          </rPr>
          <t>Inference</t>
        </r>
        <r>
          <rPr>
            <sz val="9"/>
            <color indexed="81"/>
            <rFont val="Tahoma"/>
            <family val="2"/>
          </rPr>
          <t xml:space="preserve"> has been changed to </t>
        </r>
        <r>
          <rPr>
            <i/>
            <sz val="9"/>
            <color indexed="81"/>
            <rFont val="Tahoma"/>
            <family val="2"/>
          </rPr>
          <t xml:space="preserve">decision. </t>
        </r>
        <r>
          <rPr>
            <sz val="9"/>
            <color indexed="81"/>
            <rFont val="Tahoma"/>
            <family val="2"/>
          </rPr>
          <t xml:space="preserve">I may have missed changing these words in some comments.
   Compatibility limits for standardized effects now take into account uncertainty in the SD used to standardize. The compatibility limits for standardized individual responses have not  been updated, on the reasonable assumption that the uncertainty in the SD representing individual responses is much greater than the contribution of the uncertainty in the standardizing SD. See the article on standardized differences and changes in the 2019 issue of Sportscience.
   I also removed all cells related to compatibility limits and magnitude-based decisions for the covariates and dependent variable, since it is not appropriate to do such analyses when (as is usually the case), the control and experimental groups come from the same population. For more explanation, read the comment in the cells labeled </t>
        </r>
        <r>
          <rPr>
            <b/>
            <sz val="9"/>
            <color indexed="81"/>
            <rFont val="Tahoma"/>
            <family val="2"/>
          </rPr>
          <t>Difference in group means</t>
        </r>
        <r>
          <rPr>
            <sz val="9"/>
            <color indexed="81"/>
            <rFont val="Tahoma"/>
            <family val="2"/>
          </rPr>
          <t>.</t>
        </r>
      </text>
    </comment>
    <comment ref="H4" authorId="1" shapeId="0">
      <text>
        <r>
          <rPr>
            <b/>
            <sz val="8"/>
            <color indexed="81"/>
            <rFont val="Tahoma"/>
            <family val="2"/>
          </rPr>
          <t xml:space="preserve">Oct: </t>
        </r>
        <r>
          <rPr>
            <sz val="8"/>
            <color indexed="81"/>
            <rFont val="Tahoma"/>
            <family val="2"/>
          </rPr>
          <t xml:space="preserve">Added graphs showing factor effects on Y axis for effects where some inidividual percent values are around 50% or more.
</t>
        </r>
        <r>
          <rPr>
            <b/>
            <sz val="8"/>
            <color indexed="81"/>
            <rFont val="Tahoma"/>
            <family val="2"/>
          </rPr>
          <t xml:space="preserve">
</t>
        </r>
        <r>
          <rPr>
            <sz val="8"/>
            <color indexed="81"/>
            <rFont val="Tahoma"/>
            <family val="2"/>
          </rPr>
          <t>Corrected minor errors in the derivation of the smallest important ratios for the comparison of SDs.  Improved the comment for the cell</t>
        </r>
        <r>
          <rPr>
            <b/>
            <sz val="8"/>
            <color indexed="81"/>
            <rFont val="Tahoma"/>
            <family val="2"/>
          </rPr>
          <t xml:space="preserve"> Hover cursor for comment on individual responses and responses </t>
        </r>
        <r>
          <rPr>
            <sz val="8"/>
            <color indexed="81"/>
            <rFont val="Tahoma"/>
            <family val="2"/>
          </rPr>
          <t>(B30).</t>
        </r>
        <r>
          <rPr>
            <b/>
            <sz val="8"/>
            <color indexed="81"/>
            <rFont val="Tahoma"/>
            <family val="2"/>
          </rPr>
          <t xml:space="preserve">
Mar: </t>
        </r>
        <r>
          <rPr>
            <sz val="8"/>
            <color indexed="81"/>
            <rFont val="Tahoma"/>
            <family val="2"/>
          </rPr>
          <t xml:space="preserve">Following simulations showing that it doesn't work, I have removed the description of what I thought was an efficient method for constraining the error rate from the cell </t>
        </r>
        <r>
          <rPr>
            <b/>
            <sz val="8"/>
            <color indexed="81"/>
            <rFont val="Tahoma"/>
            <family val="2"/>
          </rPr>
          <t>Number of independent refereces</t>
        </r>
        <r>
          <rPr>
            <sz val="8"/>
            <color indexed="81"/>
            <rFont val="Tahoma"/>
            <family val="2"/>
          </rPr>
          <t>.
The overall mean and overall SD of the predictor variable are now means of the means and means of the SDs (via variances) of the two groups. These are more appropriate than the previous values, which were means and SDs of all the data without regard for the grouping.
The panels of cells at the bottom of the spreadsheet showing inferences for the ratio of the SD in the two groups now have smallest important ratios derived from the smallest important SD represented by the square root of the difference in the squared SDs. Additional explanation about individual responses and differences is now provided as a comment in the cell</t>
        </r>
        <r>
          <rPr>
            <b/>
            <sz val="8"/>
            <color indexed="81"/>
            <rFont val="Tahoma"/>
            <family val="2"/>
          </rPr>
          <t xml:space="preserve"> Hover cursor for comment on individual responses and differences.
</t>
        </r>
        <r>
          <rPr>
            <sz val="8"/>
            <color indexed="81"/>
            <rFont val="Tahoma"/>
            <family val="2"/>
          </rPr>
          <t>Instructions on use of this spreadsheet for post-only analyses and for comparing two group means have now been removed.  It was getting too complicated!</t>
        </r>
        <r>
          <rPr>
            <b/>
            <sz val="8"/>
            <color indexed="81"/>
            <rFont val="Tahoma"/>
            <family val="2"/>
          </rPr>
          <t xml:space="preserve">
</t>
        </r>
        <r>
          <rPr>
            <sz val="8"/>
            <color indexed="81"/>
            <rFont val="Tahoma"/>
            <family val="2"/>
          </rPr>
          <t xml:space="preserve">
</t>
        </r>
        <r>
          <rPr>
            <b/>
            <sz val="8"/>
            <color indexed="81"/>
            <rFont val="Tahoma"/>
            <family val="2"/>
          </rPr>
          <t xml:space="preserve">Feb: </t>
        </r>
        <r>
          <rPr>
            <sz val="8"/>
            <color indexed="81"/>
            <rFont val="Tahoma"/>
            <family val="2"/>
          </rPr>
          <t xml:space="preserve">The SD for standardizing is now performed by combining the SDs in the two groups via variances weighted by degrees of freedom. The best average of the SDs when the groups do not come from the same population is the harmonic mean, as now done in the spreadsheet </t>
        </r>
        <r>
          <rPr>
            <b/>
            <sz val="8"/>
            <color indexed="81"/>
            <rFont val="Tahoma"/>
            <family val="2"/>
          </rPr>
          <t>Compare two group means</t>
        </r>
        <r>
          <rPr>
            <sz val="8"/>
            <color indexed="81"/>
            <rFont val="Tahoma"/>
            <family val="2"/>
          </rPr>
          <t>, but in controlled trials both groups usually come from the same population, so averaging the variances works.</t>
        </r>
      </text>
    </comment>
    <comment ref="I4" authorId="0" shapeId="0">
      <text>
        <r>
          <rPr>
            <sz val="9"/>
            <color indexed="81"/>
            <rFont val="Tahoma"/>
            <family val="2"/>
          </rPr>
          <t xml:space="preserve">June: Removed instructions on use for post-only parallel groups. Improved instructions and choice of SD for standardizing. Made the choice of X2 automatically determined by negative weights in the </t>
        </r>
        <r>
          <rPr>
            <b/>
            <sz val="9"/>
            <color indexed="81"/>
            <rFont val="Tahoma"/>
            <family val="2"/>
          </rPr>
          <t>Custom effect</t>
        </r>
        <r>
          <rPr>
            <sz val="9"/>
            <color indexed="81"/>
            <rFont val="Tahoma"/>
            <family val="2"/>
          </rPr>
          <t xml:space="preserve"> cells. Removed the comment added in April about simple and multiple linear regression.
May: Improved comment in the </t>
        </r>
        <r>
          <rPr>
            <b/>
            <sz val="9"/>
            <color indexed="81"/>
            <rFont val="Tahoma"/>
            <family val="2"/>
          </rPr>
          <t>Effect of delta predictor =</t>
        </r>
        <r>
          <rPr>
            <sz val="9"/>
            <color indexed="81"/>
            <rFont val="Tahoma"/>
            <family val="2"/>
          </rPr>
          <t xml:space="preserve"> cell. Made apparently blank cells containing formulae a darker grey.
April: Edited comment in </t>
        </r>
        <r>
          <rPr>
            <b/>
            <sz val="9"/>
            <color indexed="81"/>
            <rFont val="Tahoma"/>
            <family val="2"/>
          </rPr>
          <t xml:space="preserve">Custom effect </t>
        </r>
        <r>
          <rPr>
            <sz val="9"/>
            <color indexed="81"/>
            <rFont val="Tahoma"/>
            <family val="2"/>
          </rPr>
          <t>cell to explain use of this spreadsheet for simple and multiple linear regression. Added time-series graphs.</t>
        </r>
      </text>
    </comment>
    <comment ref="B19" authorId="2" shapeId="0">
      <text>
        <r>
          <rPr>
            <sz val="8"/>
            <color indexed="81"/>
            <rFont val="Tahoma"/>
            <family val="2"/>
          </rPr>
          <t>I strongly advise you to clear any log-transformed values of missing data, save the spreadsheet as a template, then save copies for each of the custom effects that you want to investigate. You can then clear individual values of the custom effects and/or delete whole rows with the missing values without compromising the analyses of other custom effects that do not involve missing values.</t>
        </r>
      </text>
    </comment>
    <comment ref="B30" authorId="2" shapeId="0">
      <text>
        <r>
          <rPr>
            <sz val="8"/>
            <color indexed="81"/>
            <rFont val="Tahoma"/>
            <family val="2"/>
          </rPr>
          <t xml:space="preserve">A comparison of the SD of the custom effect in the two groups provides an estimate of individual responses to the intervention in the experimental group.  The SD are compared by taking the square root of the difference in their squares.  The resulting statistic is itself a standard deviation representing the typical differences in the response to the intervention from individual to individual.  So, if the mean effect of an intervention (= experimental mean - control mean) is 3.0 units, and the SD representing individual responses is 2.0 units, most individuals will have a response somewhere in the region of 1 to 5 (3-2 to 3+2). 
The confidence limits provided for this SD are based on an assumption of normality, and they are only approximate for sample sizes of ~10-20 in each group. Partly for this reason a probabilistic magnitude-based inference is not provided, but it is easy to determine if the SD is unclear (the usual scenario with small sample sizes): the inference for the SD needs to be non-clinical, so you simply inspect the lower and upper confidence limits and compare with the smallest important negative and positive effects, which for an SD are half those for a difference in means (e.g., 0.1 rather than 0.2 for a standardized difference). 
A full and more accurate probabilistic inference is available for the </t>
        </r>
        <r>
          <rPr>
            <b/>
            <i/>
            <sz val="8"/>
            <color indexed="81"/>
            <rFont val="Tahoma"/>
            <family val="2"/>
          </rPr>
          <t>ratio</t>
        </r>
        <r>
          <rPr>
            <sz val="8"/>
            <color indexed="81"/>
            <rFont val="Tahoma"/>
            <family val="2"/>
          </rPr>
          <t xml:space="preserve"> of the two SDs in a panel of cells at the bottom of the spreadsheet. The smallest important ratios are derived from the smallest important SD, which is half the smallest important difference in means, as follows.  If d is the smallest important difference for means, then SDa^2+(d/2)^2 = SDb^2, where SDa is the SD of Group A and SDb would be the SD of Group B if the increase in the SD was the smallest important. Hence the smallest important ratio increase SDb/SDa = sqrt(1+(d/2/SDa)^2). For the smallest important ratio decrease, (d/2)^2 is negative, so SDa^2 = SDb^2+(d/2)^2, so SDa/SDb = sqrt(1+(d/2/SDb)^2), so SDb/SDa = 1/sqrt(1+(d/2/SDb)^2). It's difficult to understand, but these formulae ensure that you get the same probabilities of subtantial increases and decreases whichever way around you enter the data for the two groups.
When you include a subject characteristic as a covariate in the analysis, you are investigating the extent to which the characteristic accounts for individual responses.  If the covariate has a substantial effect, you should see a reduction in the SD representing individual responses.  
This spreadsheet also compares the SD of the covariates in the pre and post tests. These are all comparisons of individual differences, but it would be very unusual to report such comparisons in a publication.  More important is the extent to which there are differences between the groups in the baseline means of the dependent variable and in the means of other potential modifying covariates. You may need to adjust for such differences in the analysis of the custom effect.</t>
        </r>
      </text>
    </comment>
    <comment ref="B34" authorId="1" shapeId="0">
      <text>
        <r>
          <rPr>
            <sz val="9"/>
            <color indexed="81"/>
            <rFont val="Tahoma"/>
            <family val="2"/>
          </rPr>
          <t xml:space="preserve">When you put the threshold for the smallest important effect in these cells, the decision probabilities refer to the true effect being substantial and trivial, and you get the correct assessment about whether the effect is clear or unclear. For example, if you observed a moderate effect and it is clear, the correct decision is that the (observed) effect was moderate, and the true effect was possibly, likely (or whatever) substantially positive or negative (or beneficial or harmful, if it's a clinical decision).
On rare occasions you may put thresholds for moderate, large, etc., in these cells, in which case the decision probabilities refer to the true effect being at least moderate, large, etc. Do this only if you want to make statements such as "the true effect is likely moderate", meaning that is likely to be at least moderate. You will generally find that an effect that is, for example, likely substantial is only possibly at least moderate or even unlikely at least moderate.  
For a full discussion of smallest and other important thresholds, see the article on </t>
        </r>
        <r>
          <rPr>
            <b/>
            <sz val="9"/>
            <color indexed="81"/>
            <rFont val="Tahoma"/>
            <family val="2"/>
          </rPr>
          <t>Linear models &amp; effect magnitudes</t>
        </r>
        <r>
          <rPr>
            <sz val="9"/>
            <color indexed="81"/>
            <rFont val="Tahoma"/>
            <family val="2"/>
          </rPr>
          <t>.</t>
        </r>
      </text>
    </comment>
    <comment ref="L35" authorId="2" shapeId="0">
      <text>
        <r>
          <rPr>
            <sz val="8"/>
            <color indexed="81"/>
            <rFont val="Tahoma"/>
            <family val="2"/>
          </rPr>
          <t>This shows the chosen fraction (usually 0.20) of the between-subject SD adjusted for degrees of freedom to make the resulting standardized effects unbiased.</t>
        </r>
      </text>
    </comment>
    <comment ref="B36" authorId="0" shapeId="0">
      <text>
        <r>
          <rPr>
            <sz val="9"/>
            <color indexed="81"/>
            <rFont val="Tahoma"/>
            <family val="2"/>
          </rPr>
          <t>Put a value in this cell if analysis of raw data is appropriate (e.g., for angles, some psychometric variables, or variables that are already a percent of something) and the value is known to be associated with the smallest important difference or change in health, wealth or performance of your subjects.
The value can be positive or negative for a non-clinical inference, but for a clinical inference it must have the right sign for a harmful effect.
One example is a variable representing a Likert scale. If steps on the scale are rescaled to range from 0 to 100 (representing "percent of full-scale deflection"), the smallest important is 10 (e.g., for a pain scale) or -10 (e.g., for an energy or motivation scale).</t>
        </r>
      </text>
    </comment>
    <comment ref="B37" authorId="0" shapeId="0">
      <text>
        <r>
          <rPr>
            <sz val="9"/>
            <color indexed="81"/>
            <rFont val="Tahoma"/>
            <family val="2"/>
          </rPr>
          <t xml:space="preserve">Put a value in this cell if analysis of log-transformed data is appropriate (e.g., most measures of performance, physiology, and biochemistry) and the value is known to be associated with the smallest important difference or change in health, wealth or performance of your subjects.   
The value can be positive or negative for a non-clinical inference, but for a clinical inference it must have the right sign for a harmful effect. </t>
        </r>
        <r>
          <rPr>
            <b/>
            <sz val="9"/>
            <color indexed="81"/>
            <rFont val="Tahoma"/>
            <family val="2"/>
          </rPr>
          <t xml:space="preserve">Do not add a % sign.
</t>
        </r>
        <r>
          <rPr>
            <sz val="9"/>
            <color indexed="81"/>
            <rFont val="Tahoma"/>
            <family val="2"/>
          </rPr>
          <t xml:space="preserve">
For measures of performance of athletes who compete as individuals for the best time, distance, or other performance measure, the smallest worthwhile effect is usually around 1%, more or less depending on the measure and sport (e.g., 1% for power of a time-trial cyclist, -0.25% for time of a track runner). See the studies by Hopkins and colleagues for more, or the slideshow on this topic available at this site in the report on the performance-analysis conference in 2016.  Some physiological measures directly related to endurance performance (such as VO2max) can be assumed to have the same smallest worthwhile effect as mean power in the competitive event, around 1%.
</t>
        </r>
      </text>
    </comment>
    <comment ref="B38" authorId="0" shapeId="0">
      <text>
        <r>
          <rPr>
            <sz val="9"/>
            <color indexed="81"/>
            <rFont val="Tahoma"/>
            <family val="2"/>
          </rPr>
          <t xml:space="preserve">Put a value in this cell if analysis of log-transformed data is appropriate, the value is known to be associated with the smallest important difference or change in health, wealth or performance of your subjects, and the effects or errors are such large percents that they are expressed as factors (e.g., hormone concentrations, and genomic measures of transcription or translation). You get the same answers with factor effects as with percent effects, but when percents get large, it is easier to work with factors.
The value here can be positive only, and is usually close to 1.0.  For counts or proportions of injuries (which should be analyzed with generalized linear modeling rather than this spreadsheet), the smalles important harmful effect is an increase by a factor of 1.11. If a reduction in something is harmful, the factor is 0.9.
</t>
        </r>
      </text>
    </comment>
    <comment ref="B39" authorId="0" shapeId="0">
      <text>
        <r>
          <rPr>
            <sz val="9"/>
            <color indexed="81"/>
            <rFont val="Tahoma"/>
            <family val="2"/>
          </rPr>
          <t>Put a value in this cell for physiological, biomechanical, psychological, anthropometric or other test scores or measures and use the resulting decisions only when it is not possible to work out a raw, percent or factor mean difference or change in the measure that would be associated with a smallest important difference or change in health, wealth or competitive performance of your subjects. 
A standardized effect is the effect divided by the appropriate between-subject standard deviation, and is sometimes known as Cohen's d.  The smallest important standardized effect is 0.20, so you usually insert 0.20 (or -0.20) in this cell. For some psychometric variables (e.g., dimensions of personality), standardization is the only way to define smallest importants. 
You may choose one or more pre-tests (or unusually, post-tests) to provide the SD.  See the cells lower down. If your sample is not representative of some well-defined population, your between-subject SD may not be appropriate for standardizing, so there is a cell for inserting an SD from a well-defined population.
The value inserted here can be positive or negative for a non-clinical inference, but for a clinical inference it must have the right sign for a harmful effect.
Use standardization for measures of performance of individual team-sport athletes, but do NOT use standardization to assess the magnitude of performance effects for athletes who compete as individuals (non-interactively) for the best time, distance, or other performance measure.  
If the variable requires log transformation, make sure you use the standardized effects for the log-transformed variable.
In general, do not report the actual standardized values, but do report the qualitative magnitude and the decision based on the standardized values.</t>
        </r>
      </text>
    </comment>
    <comment ref="E42" authorId="0" shapeId="0">
      <text>
        <r>
          <rPr>
            <sz val="8"/>
            <color indexed="81"/>
            <rFont val="Tahoma"/>
            <family val="2"/>
          </rPr>
          <t>The decisions are based on whatever level of compatibility (confidence) you choose here, according to the values shown in the cells immediately below. The value should be at least 90%. Clinicial inferences are not decided with a 90% confidence interval, but choosing 90% here automatically sets the default levels for risk of harm, chance of benefit, and the benefit/harm odds ratio for such inferences.</t>
        </r>
      </text>
    </comment>
    <comment ref="E43" authorId="0" shapeId="0">
      <text>
        <r>
          <rPr>
            <sz val="8"/>
            <color indexed="81"/>
            <rFont val="Tahoma"/>
            <family val="2"/>
          </rPr>
          <t xml:space="preserve">The more decisions (or inferences) you make, the greater is the chance that you will make an error with at least one of them.  You can constrain this increase in error rate is by inserting the number of independent decisions here. The approach is equivalent to the Bonferroni adjustment to make the alpha level smaller for statistical significance. The price you pay for constraining the overall error rates with multiple decisions is an increase in the chance that you will have to declare effects unclear. The best solution to that problem is a bigger sample size. 
I explain below how the Bonferroni approach works, but first, some advice on presenting outcomes with multiple decisions. Show them without adjustment, but call special attention to those effects that would still be clear with adjustment, by highlighting them somehow, for example in </t>
        </r>
        <r>
          <rPr>
            <b/>
            <sz val="8"/>
            <color indexed="81"/>
            <rFont val="Tahoma"/>
            <family val="2"/>
          </rPr>
          <t>bold</t>
        </r>
        <r>
          <rPr>
            <sz val="8"/>
            <color indexed="81"/>
            <rFont val="Tahoma"/>
            <family val="2"/>
          </rPr>
          <t xml:space="preserve"> in a table.
How do you decide on the number of independent decisions? If there are three treatments, there are three pairwise comparisons, but these three comparisons are NOT independent. For the worst-case scenario of no real differences between three treatments A, B and C, if there is no difference between A and B and no difference between B and C, then you can be pretty sure there is no difference between A and C.  In other words, in the worst-case scenario there are only two independent differences when you have three treatments.  Similarly, with the four treatments there are three independent comparisons, not six, and so on. It is therefore reasonable to assume the number of independent comparisons is one less than the number of treatments. (The resulting adjustment is similar to the so-called Dunnett adjustment for comparing a reference treatment with several other treatments.) So if you have comparisons of three (or four, five etc.) treatments, report the 90% or your chosen compatibility limits, the clear outcomes and likelihoods thereof, and then put 2 (or 3, 4, etc.) in the adjacent cell and highlight those effects that are still clear. 
Now the explanation of the Bonferroni method... For </t>
        </r>
        <r>
          <rPr>
            <i/>
            <sz val="8"/>
            <color indexed="81"/>
            <rFont val="Tahoma"/>
            <family val="2"/>
          </rPr>
          <t>clinical</t>
        </r>
        <r>
          <rPr>
            <sz val="8"/>
            <color indexed="81"/>
            <rFont val="Tahoma"/>
            <family val="2"/>
          </rPr>
          <t xml:space="preserve"> decisions, there are two kinds of error: a Type-2 (or false-negative or failed-discovery) error when you decide to use an effect that is actually harmful (I call this a clinical Type-1 error in my sample-size spreadsheet), and another Type-2 error when you decide not to use an effect that is actually beneficial.  Default maximum rates for these errors are 0.5% and 25% for the worst-case scenario of the true values of both effects being the smallest clinically important values.  For two inferences, halving these values keeps the overall error rates at 0.5% and 25%. (More exactly, the error rates become 100*(1-(1-0.0025)^2) = 0.499% and 100*(1-(1-0.125)^2) = 23.4%.). For </t>
        </r>
        <r>
          <rPr>
            <i/>
            <sz val="8"/>
            <color indexed="81"/>
            <rFont val="Tahoma"/>
            <family val="2"/>
          </rPr>
          <t>non-clinical</t>
        </r>
        <r>
          <rPr>
            <sz val="8"/>
            <color indexed="81"/>
            <rFont val="Tahoma"/>
            <family val="2"/>
          </rPr>
          <t xml:space="preserve"> decisions, a Type-2 error occurs when you decide a substantial effect of a given sign does not have a substantial magnitude of that sign. The default maximum Type-2 error rates for either sign are 5%, and halving this value keeps the overall error rates to 5% (or more exactly, 100*(1-(1-0.025)^2) = 4.9%).
Constraining the overall error rate with multiple decisions is equivalent to using wider (higher level) compatibility intervals to make each decision. If your default level of compatibility for non-clinical decisions is 90%, the level becomes 95% (=100-(100-90)/2) for two decisions, 96.7% (=100-(100-90)/3) for three decisions, and so on. For clinical decisions, the default levels of the compatibility interval are 99% on the harm side and 50% on the benefit side for one decision, 99.5% and 75% for two decisions, and so on.
The other kind of error you can make with a decision is a Type-1 (false-positive or false-discovery), when you decide that a trivial true effect is not-trivial. This error rate depends on sample size and the true trivial value, and adjusting for multiple inferences constrains this rate, too.
The Bonferroni approach is based on the assumption that the multiple effects are independent. In reality, most effects are interdependent in a manner that the chances of making more than one error are less than the sum of the chances of the errors of each.  For example, if two effects measure exactly the same thing, and each has an error rate of 3%, the chances of two errors is only 3%, not 6%.  It follows that the adjustment is more conservative than it needs to be, which is good for appeasing reviewers. Bootstrapping the overall error rates is a good approach to take into account interdependence of effects, but it requires high-level programming in SAS or other stats package.
</t>
        </r>
      </text>
    </comment>
    <comment ref="E44" authorId="0" shapeId="0">
      <text>
        <r>
          <rPr>
            <sz val="9"/>
            <color indexed="81"/>
            <rFont val="Tahoma"/>
            <family val="2"/>
          </rPr>
          <t>This value is derived from the chosen compatibility level and the number of independent decisions.  It is also the rate of Type-2 (false-negative or failed-discovery) errors, in the worst-case scenario of the true effect being the smallest important. Expressed as a p value (e.g., 0.05 instead of 5%), it is the threshold value below which the hypothesis of a substantial effect is rejected.
If chances of substantial +ive and substantial –ive are both greater than this value, the effect "could be" substantially +ive and substantially –ive, so it is deemed unclear. Equivalently, neither hypothesis of a substantial effect is rejected.</t>
        </r>
      </text>
    </comment>
    <comment ref="L44" authorId="0" shapeId="0">
      <text>
        <r>
          <rPr>
            <sz val="8"/>
            <color indexed="81"/>
            <rFont val="Tahoma"/>
            <family val="2"/>
          </rPr>
          <t xml:space="preserve">If you leave the cell blank, you get the usual </t>
        </r>
        <r>
          <rPr>
            <b/>
            <sz val="8"/>
            <color indexed="81"/>
            <rFont val="Tahoma"/>
            <family val="2"/>
          </rPr>
          <t>unadjusted</t>
        </r>
        <r>
          <rPr>
            <sz val="8"/>
            <color indexed="81"/>
            <rFont val="Tahoma"/>
            <family val="2"/>
          </rPr>
          <t xml:space="preserve"> effect.  
To </t>
        </r>
        <r>
          <rPr>
            <b/>
            <sz val="8"/>
            <color indexed="81"/>
            <rFont val="Tahoma"/>
            <family val="2"/>
          </rPr>
          <t>adjust</t>
        </r>
        <r>
          <rPr>
            <sz val="8"/>
            <color indexed="81"/>
            <rFont val="Tahoma"/>
            <family val="2"/>
          </rPr>
          <t xml:space="preserve"> the outcome to a certain value of the predictor, insert its value here.  The usual value is the mean of the predictor, but you can explore other values.   The SD of the predictor is shown to guide your exploration!  A dashed line will appear in the figures at the chosen value.  The effect is the value where the dashed line intersects the regression line. 
If you have more than two groups, adjust to the mean of all groups by calculating it in another spreadsheet and inserting it here. If X2 is a combination of pretests included in the custom effect (a measure of "baseline"), make sure you use the same combination of pre-tests when calculating the mean of all groups. Derive the SD of all the groups in the same way and insert in the</t>
        </r>
        <r>
          <rPr>
            <b/>
            <sz val="8"/>
            <color indexed="81"/>
            <rFont val="Tahoma"/>
            <family val="2"/>
          </rPr>
          <t xml:space="preserve"> Effect of delta predictor =</t>
        </r>
        <r>
          <rPr>
            <sz val="8"/>
            <color indexed="81"/>
            <rFont val="Tahoma"/>
            <family val="2"/>
          </rPr>
          <t xml:space="preserve"> cell below.
If the predictor is a binary variable coded as 0 and 1 to represent, for example, females and males, put 0 in this cell to get the effect for females, 1 to get the effect for males, and 0.5 to get the mean effect for females and males.  Use the value 0.5 for the mean,  even though there may be unequal numbers of males and females in the study. Note, however, that the estimate is based on the assumption of the same error of measurement for females and males. To allow for different errors, analyze the females and males separately, then combine with the spreadsheet </t>
        </r>
        <r>
          <rPr>
            <b/>
            <sz val="8"/>
            <color indexed="81"/>
            <rFont val="Tahoma"/>
            <family val="2"/>
          </rPr>
          <t>Combine/compare effects</t>
        </r>
        <r>
          <rPr>
            <sz val="8"/>
            <color indexed="81"/>
            <rFont val="Tahoma"/>
            <family val="2"/>
          </rPr>
          <t xml:space="preserve">.
For the </t>
        </r>
        <r>
          <rPr>
            <b/>
            <sz val="8"/>
            <color indexed="81"/>
            <rFont val="Tahoma"/>
            <family val="2"/>
          </rPr>
          <t>Both predictors</t>
        </r>
        <r>
          <rPr>
            <sz val="8"/>
            <color indexed="81"/>
            <rFont val="Tahoma"/>
            <family val="2"/>
          </rPr>
          <t xml:space="preserve"> cells, the default value for each predictor is the mean.  If you insert a different value for one predictor, it will replace the mean.
Note that the individual responses are adjusted for the predictor, too.  So, if there is a substantial effect of the predictor on the outcome, adjusting for the predictor will reduce the individual responses, because it is helping to account for them.
Quantify the effect of the predictor itself as the effect of an appropriate difference in the predictor by inserting a value for the difference in the predictor in the </t>
        </r>
        <r>
          <rPr>
            <b/>
            <sz val="8"/>
            <color indexed="81"/>
            <rFont val="Tahoma"/>
            <family val="2"/>
          </rPr>
          <t>Effect of delta predictor =</t>
        </r>
        <r>
          <rPr>
            <sz val="8"/>
            <color indexed="81"/>
            <rFont val="Tahoma"/>
            <family val="2"/>
          </rPr>
          <t xml:space="preserve"> cell below.  Read the comment there.
For a </t>
        </r>
        <r>
          <rPr>
            <b/>
            <sz val="8"/>
            <color indexed="81"/>
            <rFont val="Tahoma"/>
            <family val="2"/>
          </rPr>
          <t xml:space="preserve">mediator or mechanism analysis </t>
        </r>
        <r>
          <rPr>
            <sz val="8"/>
            <color indexed="81"/>
            <rFont val="Tahoma"/>
            <family val="2"/>
          </rPr>
          <t xml:space="preserve">(when the predictor is a change score), insert 0 (zero) to get the effect of the treatment independent of the predictor. If you want to adjust for X2 (you should), use the effect provided by the </t>
        </r>
        <r>
          <rPr>
            <b/>
            <sz val="8"/>
            <color indexed="81"/>
            <rFont val="Tahoma"/>
            <family val="2"/>
          </rPr>
          <t>Both predictors</t>
        </r>
        <r>
          <rPr>
            <sz val="8"/>
            <color indexed="81"/>
            <rFont val="Tahoma"/>
            <family val="2"/>
          </rPr>
          <t xml:space="preserve"> columns; otherwise use the effect provided by the </t>
        </r>
        <r>
          <rPr>
            <b/>
            <sz val="8"/>
            <color indexed="81"/>
            <rFont val="Tahoma"/>
            <family val="2"/>
          </rPr>
          <t>One predictor X1</t>
        </r>
        <r>
          <rPr>
            <sz val="8"/>
            <color indexed="81"/>
            <rFont val="Tahoma"/>
            <family val="2"/>
          </rPr>
          <t xml:space="preserve"> column. Compare this with the overall effect of the treatment in the </t>
        </r>
        <r>
          <rPr>
            <b/>
            <sz val="8"/>
            <color indexed="81"/>
            <rFont val="Tahoma"/>
            <family val="2"/>
          </rPr>
          <t>One predictor X2</t>
        </r>
        <r>
          <rPr>
            <sz val="8"/>
            <color indexed="81"/>
            <rFont val="Tahoma"/>
            <family val="2"/>
          </rPr>
          <t xml:space="preserve"> column, either adjusted for X2 (by putting the mean for X2 in the </t>
        </r>
        <r>
          <rPr>
            <b/>
            <sz val="8"/>
            <color indexed="81"/>
            <rFont val="Tahoma"/>
            <family val="2"/>
          </rPr>
          <t xml:space="preserve">One predictor X2 </t>
        </r>
        <r>
          <rPr>
            <sz val="8"/>
            <color indexed="81"/>
            <rFont val="Tahoma"/>
            <family val="2"/>
          </rPr>
          <t xml:space="preserve">cell) or not adjusted for X2 (by making the </t>
        </r>
        <r>
          <rPr>
            <b/>
            <sz val="8"/>
            <color indexed="81"/>
            <rFont val="Tahoma"/>
            <family val="2"/>
          </rPr>
          <t>One predictor X2</t>
        </r>
        <r>
          <rPr>
            <sz val="8"/>
            <color indexed="81"/>
            <rFont val="Tahoma"/>
            <family val="2"/>
          </rPr>
          <t xml:space="preserve"> cell blank). The difference between the overall effect and the effect independent of X1 is the effect mediated by X1. This is provided by putting the appropriate value in the cell for </t>
        </r>
        <r>
          <rPr>
            <b/>
            <sz val="8"/>
            <color indexed="81"/>
            <rFont val="Tahoma"/>
            <family val="2"/>
          </rPr>
          <t>Effect of delta predictor =</t>
        </r>
        <r>
          <rPr>
            <sz val="8"/>
            <color indexed="81"/>
            <rFont val="Tahoma"/>
            <family val="2"/>
          </rPr>
          <t xml:space="preserve">.  See the comment in that cell.
</t>
        </r>
      </text>
    </comment>
    <comment ref="AC44" authorId="0" shapeId="0">
      <text>
        <r>
          <rPr>
            <sz val="8"/>
            <color indexed="81"/>
            <rFont val="Tahoma"/>
            <family val="2"/>
          </rPr>
          <t xml:space="preserve">If you leave the cell blank, you get the usual </t>
        </r>
        <r>
          <rPr>
            <b/>
            <sz val="8"/>
            <color indexed="81"/>
            <rFont val="Tahoma"/>
            <family val="2"/>
          </rPr>
          <t>unadjusted</t>
        </r>
        <r>
          <rPr>
            <sz val="8"/>
            <color indexed="81"/>
            <rFont val="Tahoma"/>
            <family val="2"/>
          </rPr>
          <t xml:space="preserve"> effect.  
To </t>
        </r>
        <r>
          <rPr>
            <b/>
            <sz val="8"/>
            <color indexed="81"/>
            <rFont val="Tahoma"/>
            <family val="2"/>
          </rPr>
          <t>adjust</t>
        </r>
        <r>
          <rPr>
            <sz val="8"/>
            <color indexed="81"/>
            <rFont val="Tahoma"/>
            <family val="2"/>
          </rPr>
          <t xml:space="preserve"> the outcome to a certain value of the predictor, insert its value here.  The usual value is the mean of the predictor, but you can explore other values.   The SD of the predictor is shown to guide your exploration!  A dashed line will appear in the figures at the chosen value.  The effect is the value where the dashed line intersects the regression line. 
If you have more than two groups, adjust to the mean of all groups by calculating it in another spreadsheet and inserting it here. If X2 is a combination of pretests included in the custom effect (a measure of "baseline"), make sure you use the same combination of pre-tests when calculating the mean of all groups. Derive the SD of all the groups in the same way and insert in the</t>
        </r>
        <r>
          <rPr>
            <b/>
            <sz val="8"/>
            <color indexed="81"/>
            <rFont val="Tahoma"/>
            <family val="2"/>
          </rPr>
          <t xml:space="preserve"> Effect of delta predictor =</t>
        </r>
        <r>
          <rPr>
            <sz val="8"/>
            <color indexed="81"/>
            <rFont val="Tahoma"/>
            <family val="2"/>
          </rPr>
          <t xml:space="preserve"> cell below.
If the predictor is a binary variable coded as 0 and 1 to represent, for example, females and males, put 0 in this cell to get the effect for females, 1 to get the effect for males, and 0.5 to get the mean effect for females and males.  Use the value 0.5 for the mean,  even though there may be unequal numbers of males and females in the study. Note, however, that the estimate is based on the assumption of the same error of measurement for females and males. To allow for different errors, analyze the females and males separately, then combine with the spreadsheet </t>
        </r>
        <r>
          <rPr>
            <b/>
            <sz val="8"/>
            <color indexed="81"/>
            <rFont val="Tahoma"/>
            <family val="2"/>
          </rPr>
          <t>Combine/compare effects</t>
        </r>
        <r>
          <rPr>
            <sz val="8"/>
            <color indexed="81"/>
            <rFont val="Tahoma"/>
            <family val="2"/>
          </rPr>
          <t xml:space="preserve">.
For the </t>
        </r>
        <r>
          <rPr>
            <b/>
            <sz val="8"/>
            <color indexed="81"/>
            <rFont val="Tahoma"/>
            <family val="2"/>
          </rPr>
          <t>Both predictors</t>
        </r>
        <r>
          <rPr>
            <sz val="8"/>
            <color indexed="81"/>
            <rFont val="Tahoma"/>
            <family val="2"/>
          </rPr>
          <t xml:space="preserve"> cells, the default value for each predictor is the mean.  If you insert a different value for one predictor, it will replace the mean.
Note that the individual responses are adjusted for the predictor, too.  So, if there is a substantial effect of the predictor on the outcome, adjusting for the predictor will reduce the individual responses, because it is helping to account for them.
Quantify the effect of the predictor itself as the effect of an appropriate difference in the predictor by inserting a value for the difference in the predictor in the </t>
        </r>
        <r>
          <rPr>
            <b/>
            <sz val="8"/>
            <color indexed="81"/>
            <rFont val="Tahoma"/>
            <family val="2"/>
          </rPr>
          <t>Effect of delta predictor =</t>
        </r>
        <r>
          <rPr>
            <sz val="8"/>
            <color indexed="81"/>
            <rFont val="Tahoma"/>
            <family val="2"/>
          </rPr>
          <t xml:space="preserve"> cell below.  Read the comment there.
For a </t>
        </r>
        <r>
          <rPr>
            <b/>
            <sz val="8"/>
            <color indexed="81"/>
            <rFont val="Tahoma"/>
            <family val="2"/>
          </rPr>
          <t xml:space="preserve">mediator or mechanism analysis </t>
        </r>
        <r>
          <rPr>
            <sz val="8"/>
            <color indexed="81"/>
            <rFont val="Tahoma"/>
            <family val="2"/>
          </rPr>
          <t xml:space="preserve">(when the predictor is a change score), insert 0 (zero) to get the effect of the treatment independent of the predictor. If you want to adjust for X2 (you should), use the effect provided by the </t>
        </r>
        <r>
          <rPr>
            <b/>
            <sz val="8"/>
            <color indexed="81"/>
            <rFont val="Tahoma"/>
            <family val="2"/>
          </rPr>
          <t>Both predictors</t>
        </r>
        <r>
          <rPr>
            <sz val="8"/>
            <color indexed="81"/>
            <rFont val="Tahoma"/>
            <family val="2"/>
          </rPr>
          <t xml:space="preserve"> columns; otherwise use the effect provided by the </t>
        </r>
        <r>
          <rPr>
            <b/>
            <sz val="8"/>
            <color indexed="81"/>
            <rFont val="Tahoma"/>
            <family val="2"/>
          </rPr>
          <t>One predictor X1</t>
        </r>
        <r>
          <rPr>
            <sz val="8"/>
            <color indexed="81"/>
            <rFont val="Tahoma"/>
            <family val="2"/>
          </rPr>
          <t xml:space="preserve"> column. Compare this with the overall effect of the treatment in the </t>
        </r>
        <r>
          <rPr>
            <b/>
            <sz val="8"/>
            <color indexed="81"/>
            <rFont val="Tahoma"/>
            <family val="2"/>
          </rPr>
          <t>One predictor X2</t>
        </r>
        <r>
          <rPr>
            <sz val="8"/>
            <color indexed="81"/>
            <rFont val="Tahoma"/>
            <family val="2"/>
          </rPr>
          <t xml:space="preserve"> column, either adjusted for X2 (by putting the mean for X2 in the </t>
        </r>
        <r>
          <rPr>
            <b/>
            <sz val="8"/>
            <color indexed="81"/>
            <rFont val="Tahoma"/>
            <family val="2"/>
          </rPr>
          <t xml:space="preserve">One predictor X2 </t>
        </r>
        <r>
          <rPr>
            <sz val="8"/>
            <color indexed="81"/>
            <rFont val="Tahoma"/>
            <family val="2"/>
          </rPr>
          <t xml:space="preserve">cell) or not adjusted for X2 (by making the </t>
        </r>
        <r>
          <rPr>
            <b/>
            <sz val="8"/>
            <color indexed="81"/>
            <rFont val="Tahoma"/>
            <family val="2"/>
          </rPr>
          <t>One predictor X2</t>
        </r>
        <r>
          <rPr>
            <sz val="8"/>
            <color indexed="81"/>
            <rFont val="Tahoma"/>
            <family val="2"/>
          </rPr>
          <t xml:space="preserve"> cell blank). The difference between the overall effect and the effect independent of X1 is the effect mediated by X1. This is provided by putting the appropriate value in the cell for </t>
        </r>
        <r>
          <rPr>
            <b/>
            <sz val="8"/>
            <color indexed="81"/>
            <rFont val="Tahoma"/>
            <family val="2"/>
          </rPr>
          <t>Effect of delta predictor =</t>
        </r>
        <r>
          <rPr>
            <sz val="8"/>
            <color indexed="81"/>
            <rFont val="Tahoma"/>
            <family val="2"/>
          </rPr>
          <t xml:space="preserve">.  See the comment in that cell.
</t>
        </r>
      </text>
    </comment>
    <comment ref="AG44" authorId="2" shapeId="0">
      <text>
        <r>
          <rPr>
            <sz val="8"/>
            <color indexed="81"/>
            <rFont val="Tahoma"/>
            <family val="2"/>
          </rPr>
          <t>If X2 is a pre-test, this value will be in log-transformed units.</t>
        </r>
      </text>
    </comment>
    <comment ref="E45" authorId="0" shapeId="0">
      <text>
        <r>
          <rPr>
            <sz val="9"/>
            <color indexed="81"/>
            <rFont val="Tahoma"/>
            <family val="2"/>
          </rPr>
          <t>This value is derived from the chosen compatibility level and the number of independent decisions. It is also the rate of Type-2 (false-negative or failed-discovery) errors, in the worst-case scenario of the true effect being the smallest harmful value. Expressed as a p value (e.g., 0.005 instead of 0.5%), it is the threshold value below which the hypothesis of harm is rejected.
Don't use an effect if its chance of harm exceeds this value, and if the chance of benefit exceeds the value in the cell below, the effect "could be" harmful and beneficial, so it is deemd unclear. Equivalently, neither the hypothesis of harm nor the hypothesis of benefit is rejected.</t>
        </r>
      </text>
    </comment>
    <comment ref="AE45" authorId="2" shapeId="0">
      <text>
        <r>
          <rPr>
            <sz val="8"/>
            <color indexed="81"/>
            <rFont val="Tahoma"/>
            <family val="2"/>
          </rPr>
          <t>If X2 is a pre-test, this value will be in log-transformed units.</t>
        </r>
      </text>
    </comment>
    <comment ref="E46" authorId="0" shapeId="0">
      <text>
        <r>
          <rPr>
            <sz val="9"/>
            <color indexed="81"/>
            <rFont val="Tahoma"/>
            <family val="2"/>
          </rPr>
          <t>This value is derived from the chosen compatibility level and the number of independent decisions. It is also the rate of Type-2 (false-negative or failed-discovery) errors, in the worst-case scenario of the true effect being the smallest beneficial value. Expressed as a p value (e.g., 0.25 instead of 25%), it is the threshold value below which the hypothesis of benefit is rejected.
Consider using an effect if its chance of benefit exceeds this value, but if the chance of harm exceeds the value in the cell above, the effect "could be" harmful and beneficial, so it is deemd unclear. Equivalently, neither the hypothesis of benefit nor the hypothesis of harm is rejected.</t>
        </r>
      </text>
    </comment>
    <comment ref="AE46" authorId="2" shapeId="0">
      <text>
        <r>
          <rPr>
            <sz val="8"/>
            <color indexed="81"/>
            <rFont val="Tahoma"/>
            <family val="2"/>
          </rPr>
          <t>If X2 is a pre-test, this value will be in log-transformed units.</t>
        </r>
      </text>
    </comment>
    <comment ref="E47" authorId="0" shapeId="0">
      <text>
        <r>
          <rPr>
            <sz val="9"/>
            <color indexed="81"/>
            <rFont val="Tahoma"/>
            <family val="2"/>
          </rPr>
          <t xml:space="preserve">Regardless of the risk of harm and chance of benefit, deciding to use an effect if the odds ratio exceeds this value is a less conservative approach to making a clinical or practical decision.
Adjusting for multiple inferences makes make this  approach slightly </t>
        </r>
        <r>
          <rPr>
            <i/>
            <sz val="9"/>
            <color indexed="81"/>
            <rFont val="Tahoma"/>
            <family val="2"/>
          </rPr>
          <t>less</t>
        </r>
        <r>
          <rPr>
            <sz val="9"/>
            <color indexed="81"/>
            <rFont val="Tahoma"/>
            <family val="2"/>
          </rPr>
          <t xml:space="preserve"> conservative, so do not use it for multiple inferences.</t>
        </r>
      </text>
    </comment>
    <comment ref="L47" authorId="0" shapeId="0">
      <text>
        <r>
          <rPr>
            <sz val="8"/>
            <color indexed="81"/>
            <rFont val="Tahoma"/>
            <family val="2"/>
          </rPr>
          <t xml:space="preserve">If this cell is blank, the custom effect shown is the usual effect, with or without adjustment, depending on whether you have anything in the </t>
        </r>
        <r>
          <rPr>
            <b/>
            <sz val="8"/>
            <color indexed="81"/>
            <rFont val="Tahoma"/>
            <family val="2"/>
          </rPr>
          <t>Adjusted to predictor =</t>
        </r>
        <r>
          <rPr>
            <sz val="8"/>
            <color indexed="81"/>
            <rFont val="Tahoma"/>
            <family val="2"/>
          </rPr>
          <t xml:space="preserve"> cell. If you put a number in this cell, the custom effect will be the moderating or mediating effect of the predictor, as follows... 
To estimate the moderating effect of the predictor, insert a POSITIVE difference of the predictor. The best value to insert is two SDs of the predictor. Insert =2*(the SD in the cell above), not simply the number "2". (Why 2SD? It's the only way the magnitude of a linear effect of X expressed as a correlation corresponds to the magnitude expressed as a standardized  difference between two predicted values. For example, using 2SD makes a correlation of 0.10 correspond to a standardized difference of 0.20.) 
If you insert the number 1, you will get the usual slope: the difference in the custom effect per unit of the predictor. It may be appropriate to show the slope in a publication, but you should assess its magnitude via the difference for two SDs.
If you have more than two groups, calculate the SD of all groups in another spreadsheet and insert it here. If X2 is a combination of pretests included in the custom effect (a measure of "baseline"), make sure you use the same combination of pre-tests when calculating the SD of all groups.
If the predictor is a binary variable coded as 0 and 1 to represent, for example, females and males respectively, put the number "1" in this cell to get the moderating effect of sex: the effect in males minus the effect in females. Note, however, that the estimate is based on the assumption of the same error of measurement for females and males. To allow for different errors, analyze the females and males separately, then compare with the spreadsheet </t>
        </r>
        <r>
          <rPr>
            <b/>
            <sz val="8"/>
            <color indexed="81"/>
            <rFont val="Tahoma"/>
            <family val="2"/>
          </rPr>
          <t>Combine/compare effects</t>
        </r>
        <r>
          <rPr>
            <sz val="8"/>
            <color indexed="81"/>
            <rFont val="Tahoma"/>
            <family val="2"/>
          </rPr>
          <t xml:space="preserve">.
To estimate the </t>
        </r>
        <r>
          <rPr>
            <b/>
            <sz val="8"/>
            <color indexed="81"/>
            <rFont val="Tahoma"/>
            <family val="2"/>
          </rPr>
          <t>mediating</t>
        </r>
        <r>
          <rPr>
            <sz val="8"/>
            <color indexed="81"/>
            <rFont val="Tahoma"/>
            <family val="2"/>
          </rPr>
          <t xml:space="preserve"> or </t>
        </r>
        <r>
          <rPr>
            <b/>
            <sz val="8"/>
            <color indexed="81"/>
            <rFont val="Tahoma"/>
            <family val="2"/>
          </rPr>
          <t>mechanism</t>
        </r>
        <r>
          <rPr>
            <sz val="8"/>
            <color indexed="81"/>
            <rFont val="Tahoma"/>
            <family val="2"/>
          </rPr>
          <t xml:space="preserve"> effect of the predictor (when the predictor is a change score), insert -1 to get the custom effect </t>
        </r>
        <r>
          <rPr>
            <i/>
            <sz val="8"/>
            <color indexed="81"/>
            <rFont val="Tahoma"/>
            <family val="2"/>
          </rPr>
          <t>explained by</t>
        </r>
        <r>
          <rPr>
            <sz val="8"/>
            <color indexed="81"/>
            <rFont val="Tahoma"/>
            <family val="2"/>
          </rPr>
          <t xml:space="preserve"> the predictor: the effect of the change in the predictor in the exptal group minus that in the control. (The value -1 is used as a "flag" to compute the custom effect as the predictor's slope*mean in the exptal group minus slope*mean in the control.)</t>
        </r>
      </text>
    </comment>
    <comment ref="AC47" authorId="0" shapeId="0">
      <text>
        <r>
          <rPr>
            <sz val="8"/>
            <color indexed="81"/>
            <rFont val="Tahoma"/>
            <family val="2"/>
          </rPr>
          <t xml:space="preserve">If this cell is blank, the custom effect shown is the usual effect, with or without adjustment, depending on whether you have anything in the </t>
        </r>
        <r>
          <rPr>
            <b/>
            <sz val="8"/>
            <color indexed="81"/>
            <rFont val="Tahoma"/>
            <family val="2"/>
          </rPr>
          <t>Adjusted to predictor =</t>
        </r>
        <r>
          <rPr>
            <sz val="8"/>
            <color indexed="81"/>
            <rFont val="Tahoma"/>
            <family val="2"/>
          </rPr>
          <t xml:space="preserve"> cell. If you put a number in this cell, the custom effect will be the moderating or mediating effect of the predictor, as follows... 
To estimate the moderating effect of the predictor, insert a POSITIVE difference of the predictor. The best value to insert is two SDs of the predictor. Insert =2*(the SD shown in the cell above), not simply the number "2". (Why 2SD? It's the only way the magnitude of a linear effect of X expressed as a correlation corresponds to the magnitude expressed as a standardized  difference between two predicted values. For example, using 2SD makes a correlation of 0.10 correspond to a standardized difference of 0.20.) 
If you insert the number 1, you will get the usual slope: the difference in the custom effect per unit of the predictor; if the predictor has been log transformed, the slope is in units of %/% (percent per percent). It may be appropriate to show the slope in a publication, but you should assess its magnitude via the difference for two SDs.
If you have more than two groups, calculate the SD of all groups in another spreadsheet and insert it here. If X2 is a combination of pretests included in the custom effect (a measure of "baseline"), make sure you use the same combination of pre-tests when calculating the SD of all groups, and do it with 100*ln() transformed values.
If the predictor is a binary variable coded as 0 and 1 to represent, for example, females and males respectively, put the number "1" in this cell to get the moderating effect of sex: the effect in males minus the effect in females. Note, however, that the estimate is based on the assumption of the same error of measurement for females and males. To allow for different errors, analyze the females and males separately, then compare with the spreadsheet </t>
        </r>
        <r>
          <rPr>
            <b/>
            <sz val="8"/>
            <color indexed="81"/>
            <rFont val="Tahoma"/>
            <family val="2"/>
          </rPr>
          <t>Combine/compare effects</t>
        </r>
        <r>
          <rPr>
            <sz val="8"/>
            <color indexed="81"/>
            <rFont val="Tahoma"/>
            <family val="2"/>
          </rPr>
          <t xml:space="preserve">.
To estimate the </t>
        </r>
        <r>
          <rPr>
            <b/>
            <sz val="8"/>
            <color indexed="81"/>
            <rFont val="Tahoma"/>
            <family val="2"/>
          </rPr>
          <t>mediating</t>
        </r>
        <r>
          <rPr>
            <sz val="8"/>
            <color indexed="81"/>
            <rFont val="Tahoma"/>
            <family val="2"/>
          </rPr>
          <t xml:space="preserve"> or </t>
        </r>
        <r>
          <rPr>
            <b/>
            <sz val="8"/>
            <color indexed="81"/>
            <rFont val="Tahoma"/>
            <family val="2"/>
          </rPr>
          <t>mechanism</t>
        </r>
        <r>
          <rPr>
            <sz val="8"/>
            <color indexed="81"/>
            <rFont val="Tahoma"/>
            <family val="2"/>
          </rPr>
          <t xml:space="preserve"> effect of the predictor (when the predictor is a change score), insert -1 to get the custom effect </t>
        </r>
        <r>
          <rPr>
            <i/>
            <sz val="8"/>
            <color indexed="81"/>
            <rFont val="Tahoma"/>
            <family val="2"/>
          </rPr>
          <t>explained by</t>
        </r>
        <r>
          <rPr>
            <sz val="8"/>
            <color indexed="81"/>
            <rFont val="Tahoma"/>
            <family val="2"/>
          </rPr>
          <t xml:space="preserve"> the predictor: the effect of the change in the predictor in the exptal group minus that in the control. (The value -1 is used as a "flag" to compute the custom effect as the predictor's slope*mean in the exptal group minus slope*mean in the control.)</t>
        </r>
      </text>
    </comment>
    <comment ref="E48" authorId="2" shapeId="0">
      <text>
        <r>
          <rPr>
            <sz val="8"/>
            <color indexed="81"/>
            <rFont val="Tahoma"/>
            <family val="2"/>
          </rPr>
          <t>Used to calculate X2 as a baseline or reference covariate from the tests.  Do not modify.</t>
        </r>
      </text>
    </comment>
    <comment ref="V48" authorId="2" shapeId="0">
      <text>
        <r>
          <rPr>
            <sz val="8"/>
            <color indexed="81"/>
            <rFont val="Tahoma"/>
            <family val="2"/>
          </rPr>
          <t>Used to calculate X2 as a baseline or reference covariate from the tests.  Do not modify.</t>
        </r>
      </text>
    </comment>
    <comment ref="E49" authorId="2" shapeId="0">
      <text>
        <r>
          <rPr>
            <sz val="8"/>
            <color indexed="81"/>
            <rFont val="Tahoma"/>
            <family val="2"/>
          </rPr>
          <t>Use these cells  to fit linear or other polynomial trends to your data.  Put the appropriate derived trend in "Custom effect, not adjusted" Column M). For example, to fit a linear trend over the five trials and estimate the linearized change over the five trials, put this formula into the cell for the first subject:
=SLOPE(F52:J52,F$49:J$49)*(J$49-F$49)
Then copy the cell down for all the subjects, and copy the same formula into the cells for the Exptal subjects.
If your dependent variable needs log transformation. you will have to do the same for the log-transformed data. If you copy the cells you have created from the Custom-effect column for the raw data to the matching column for the log-transformed data, the cells will point to the time values above the raw data.  If you want to play with the time values above the log-transformed data, you will have to make the Custom-effect cells point to those time values.
You may change the time values in this row.  If you have more than five trials, you will have to put appropriate numbers in these cells after you have inserted new columns.</t>
        </r>
      </text>
    </comment>
    <comment ref="O49" authorId="2" shapeId="0">
      <text>
        <r>
          <rPr>
            <sz val="8"/>
            <color indexed="81"/>
            <rFont val="Tahoma"/>
            <family val="2"/>
          </rPr>
          <t>Individual values in these columns are adjusted only for the predictor shown, and the values are used to plot graphs of the effect vs the other predictor.  All other values lower down are adjusted for both predictors or show the effect of delta predictor adjusted for the other predictor.</t>
        </r>
      </text>
    </comment>
    <comment ref="S49" authorId="2" shapeId="0">
      <text>
        <r>
          <rPr>
            <sz val="8"/>
            <color indexed="81"/>
            <rFont val="Tahoma"/>
            <family val="2"/>
          </rPr>
          <t>Use for most kinds of performance and physiological measures, but not for angles, psychometric variables, or variables that are already a percent of something.</t>
        </r>
      </text>
    </comment>
    <comment ref="V49" authorId="2" shapeId="0">
      <text>
        <r>
          <rPr>
            <sz val="8"/>
            <color indexed="81"/>
            <rFont val="Tahoma"/>
            <family val="2"/>
          </rPr>
          <t xml:space="preserve">Use these cells  to fit linear or other polynomial trends to your data.  Put the appropriate derived trend in </t>
        </r>
        <r>
          <rPr>
            <b/>
            <sz val="8"/>
            <color indexed="81"/>
            <rFont val="Tahoma"/>
            <family val="2"/>
          </rPr>
          <t>Custom effect, not adjusted</t>
        </r>
        <r>
          <rPr>
            <sz val="8"/>
            <color indexed="81"/>
            <rFont val="Tahoma"/>
            <family val="2"/>
          </rPr>
          <t xml:space="preserve"> (Column AD). For example, to fit a linear trend over the five trials and estimate the linearized change over the five trials, put this formula into the cell for the first subject:
=SLOPE(W52:AA52,$W$49:$AA$49)*($AA$49-$W$49)
Then copy the cell down for all the subjects, and copy the same formula into the cells for the Exptal subjects.
You may change the time values in this row.  If you have more than five trials, you will have to put appropriate numbers in these cells after you have inserted new columns.</t>
        </r>
      </text>
    </comment>
    <comment ref="AF49" authorId="2" shapeId="0">
      <text>
        <r>
          <rPr>
            <sz val="8"/>
            <color indexed="81"/>
            <rFont val="Tahoma"/>
            <family val="2"/>
          </rPr>
          <t>Individual values in these columns are adjusted only for the predictor shown, and the values are used to plot graphs of the effect vs the other predictor.  All other values lower down are adjusted for both predictors or show the effect of delta predictor adjusted for the other predictor.</t>
        </r>
      </text>
    </comment>
    <comment ref="E50" authorId="2" shapeId="0">
      <text>
        <r>
          <rPr>
            <sz val="8"/>
            <color indexed="81"/>
            <rFont val="Tahoma"/>
            <family val="2"/>
          </rPr>
          <t xml:space="preserve">Insert appropriate weighting factors. The example shown makes the effect Post1-Pre2. 
You can average trials. For example, Post1 - (Pre1+Pre2)/2 is obtained with:
-0.5  -0.5   1   0  0
The sum of the positive weights must be 1, and the sum of the negative weights must be -1.  If you are averaging three trials, insert =1/3 (or =-1/3) for each of them.
If you are devising your own custom effect, you can choose the (baseline) trial(s) for adjusting with the X2 variable and for standardizing by making the (sum of) the weight(s) equal -1. If the weights are all 0 or blank, you will get #DIV/0! in the X2 column, which means that you want to supply your own values for the X2 variable; for standardizing, you will then need to go to the panel of cells </t>
        </r>
        <r>
          <rPr>
            <b/>
            <sz val="8"/>
            <color indexed="81"/>
            <rFont val="Tahoma"/>
            <family val="2"/>
          </rPr>
          <t>Choose (pre)test SD(s) or insert your own SD for standardizing</t>
        </r>
        <r>
          <rPr>
            <sz val="8"/>
            <color indexed="81"/>
            <rFont val="Tahoma"/>
            <family val="2"/>
          </rPr>
          <t>.</t>
        </r>
      </text>
    </comment>
    <comment ref="K50" authorId="2" shapeId="0">
      <text>
        <r>
          <rPr>
            <sz val="8"/>
            <color indexed="81"/>
            <rFont val="Tahoma"/>
            <family val="2"/>
          </rPr>
          <t xml:space="preserve">For </t>
        </r>
        <r>
          <rPr>
            <i/>
            <sz val="8"/>
            <color indexed="81"/>
            <rFont val="Tahoma"/>
            <family val="2"/>
          </rPr>
          <t>Bad weights,</t>
        </r>
        <r>
          <rPr>
            <sz val="8"/>
            <color indexed="81"/>
            <rFont val="Tahoma"/>
            <family val="2"/>
          </rPr>
          <t xml:space="preserve"> read the comment in the </t>
        </r>
        <r>
          <rPr>
            <b/>
            <sz val="8"/>
            <color indexed="81"/>
            <rFont val="Tahoma"/>
            <family val="2"/>
          </rPr>
          <t>Custom effect:</t>
        </r>
        <r>
          <rPr>
            <sz val="8"/>
            <color indexed="81"/>
            <rFont val="Tahoma"/>
            <family val="2"/>
          </rPr>
          <t xml:space="preserve"> cell.
For</t>
        </r>
        <r>
          <rPr>
            <i/>
            <sz val="8"/>
            <color indexed="81"/>
            <rFont val="Tahoma"/>
            <family val="2"/>
          </rPr>
          <t xml:space="preserve"> Your own custom effect,</t>
        </r>
        <r>
          <rPr>
            <sz val="8"/>
            <color indexed="81"/>
            <rFont val="Tahoma"/>
            <family val="2"/>
          </rPr>
          <t xml:space="preserve"> read the comment in the  cell immediately on the right and the comment in the</t>
        </r>
        <r>
          <rPr>
            <b/>
            <sz val="8"/>
            <color indexed="81"/>
            <rFont val="Tahoma"/>
            <family val="2"/>
          </rPr>
          <t xml:space="preserve"> Custom effect</t>
        </r>
        <r>
          <rPr>
            <sz val="8"/>
            <color indexed="81"/>
            <rFont val="Tahoma"/>
            <family val="2"/>
          </rPr>
          <t>: cell.</t>
        </r>
      </text>
    </comment>
    <comment ref="M50" authorId="2" shapeId="0">
      <text>
        <r>
          <rPr>
            <sz val="8"/>
            <color indexed="81"/>
            <rFont val="Tahoma"/>
            <family val="2"/>
          </rPr>
          <t xml:space="preserve">If you devise your own effect here that does not use the </t>
        </r>
        <r>
          <rPr>
            <b/>
            <sz val="8"/>
            <color indexed="81"/>
            <rFont val="Tahoma"/>
            <family val="2"/>
          </rPr>
          <t>Custom effect</t>
        </r>
        <r>
          <rPr>
            <sz val="8"/>
            <color indexed="81"/>
            <rFont val="Tahoma"/>
            <family val="2"/>
          </rPr>
          <t xml:space="preserve"> cells (e.g., a trend analysis use the SLOPE function), put the effect into the cell immediately below this cell, then copy it down to the other subjects and copy it into the cells for the experimental treatment. The effect will automatically be copied appropriately to the other three effect columns.  If log transformation is appropriare, copy the effect into the corresponding cells for the log-transformed data.
Next, choose the (baseline) trial(s) for adjusting with the X2 variable and for standardizing by making the (sum of) the weight(s) equal -1. If instead you make the weights all 0 or blank, you will get #DIV/0! in the X2 column, which means that you want to supply your own values for the X2 variable. For standardizing, you will then need to go to the panel of cells </t>
        </r>
        <r>
          <rPr>
            <b/>
            <sz val="8"/>
            <color indexed="81"/>
            <rFont val="Tahoma"/>
            <family val="2"/>
          </rPr>
          <t>Choose (pre)test SD(s) or insert your own SD for standardizing.</t>
        </r>
      </text>
    </comment>
    <comment ref="V50" authorId="2" shapeId="0">
      <text>
        <r>
          <rPr>
            <sz val="8"/>
            <color indexed="81"/>
            <rFont val="Tahoma"/>
            <family val="2"/>
          </rPr>
          <t xml:space="preserve">Insert appropriate weighting factors. The example shown makes the effect Post1-Pre2. 
You can average trials. For example, Post1 - (Pre1+Pre2)/2 is obtained with:
-0.5  -0.5   1   0  0
The sum of the positive weights must be 1, and the sum of the negative weights must be -1.  If you are averaging three trials, insert =1/3 (or =-1/3) for each of them.
If you are devising your own custom effect, you can choose the (baseline) trial(s) for adjusting with the X2 variable and for standardizing by making the (sum of) the weight(s) equal -1. If the weights are all 0 or blank, you will get #DIV/0! in the X2 column, which means that you want to supply your own values for the X2 variable; for standardizing, you will then need to go to the panel of cells </t>
        </r>
        <r>
          <rPr>
            <b/>
            <sz val="8"/>
            <color indexed="81"/>
            <rFont val="Tahoma"/>
            <family val="2"/>
          </rPr>
          <t>Choose (pre)test SD(s) or insert your own SD for standardizing</t>
        </r>
        <r>
          <rPr>
            <sz val="8"/>
            <color indexed="81"/>
            <rFont val="Tahoma"/>
            <family val="2"/>
          </rPr>
          <t>.</t>
        </r>
      </text>
    </comment>
    <comment ref="AB50" authorId="2" shapeId="0">
      <text>
        <r>
          <rPr>
            <sz val="8"/>
            <color indexed="81"/>
            <rFont val="Tahoma"/>
            <family val="2"/>
          </rPr>
          <t xml:space="preserve">For </t>
        </r>
        <r>
          <rPr>
            <i/>
            <sz val="8"/>
            <color indexed="81"/>
            <rFont val="Tahoma"/>
            <family val="2"/>
          </rPr>
          <t>Bad weights,</t>
        </r>
        <r>
          <rPr>
            <sz val="8"/>
            <color indexed="81"/>
            <rFont val="Tahoma"/>
            <family val="2"/>
          </rPr>
          <t xml:space="preserve"> read the comment in the </t>
        </r>
        <r>
          <rPr>
            <b/>
            <sz val="8"/>
            <color indexed="81"/>
            <rFont val="Tahoma"/>
            <family val="2"/>
          </rPr>
          <t>Custom effect:</t>
        </r>
        <r>
          <rPr>
            <sz val="8"/>
            <color indexed="81"/>
            <rFont val="Tahoma"/>
            <family val="2"/>
          </rPr>
          <t xml:space="preserve"> cell.
For</t>
        </r>
        <r>
          <rPr>
            <i/>
            <sz val="8"/>
            <color indexed="81"/>
            <rFont val="Tahoma"/>
            <family val="2"/>
          </rPr>
          <t xml:space="preserve"> Your own custom effect,</t>
        </r>
        <r>
          <rPr>
            <sz val="8"/>
            <color indexed="81"/>
            <rFont val="Tahoma"/>
            <family val="2"/>
          </rPr>
          <t xml:space="preserve"> read the comment in the  cell immediately on the right and the comment in the</t>
        </r>
        <r>
          <rPr>
            <b/>
            <sz val="8"/>
            <color indexed="81"/>
            <rFont val="Tahoma"/>
            <family val="2"/>
          </rPr>
          <t xml:space="preserve"> Custom effect</t>
        </r>
        <r>
          <rPr>
            <sz val="8"/>
            <color indexed="81"/>
            <rFont val="Tahoma"/>
            <family val="2"/>
          </rPr>
          <t>: cell.</t>
        </r>
      </text>
    </comment>
    <comment ref="AD50" authorId="2" shapeId="0">
      <text>
        <r>
          <rPr>
            <sz val="8"/>
            <color indexed="81"/>
            <rFont val="Tahoma"/>
            <family val="2"/>
          </rPr>
          <t xml:space="preserve">If you devise your own effect here that does not use the </t>
        </r>
        <r>
          <rPr>
            <b/>
            <sz val="8"/>
            <color indexed="81"/>
            <rFont val="Tahoma"/>
            <family val="2"/>
          </rPr>
          <t>Custom effect</t>
        </r>
        <r>
          <rPr>
            <sz val="8"/>
            <color indexed="81"/>
            <rFont val="Tahoma"/>
            <family val="2"/>
          </rPr>
          <t xml:space="preserve"> cells (e.g., a trend analysis use the SLOPE function), put the effect into the cell immediately below this cell, then copy it down to the other subjects and copy it into the cells for the experimental treatment. The effect will automatically be copied appropriately to the other three effect columns.
Next, choose the (baseline) trial(s) for adjusting with the X2 variable and for standardizing by  making the (sum of) the weight(s) equal -1. If instead you make the weights all 0 or blank, you will get #DIV/0! in the X2 column, which means that you want to supply your own values for the X2 variable. For standardizing, you will then need to go to the panel of cells </t>
        </r>
        <r>
          <rPr>
            <b/>
            <sz val="8"/>
            <color indexed="81"/>
            <rFont val="Tahoma"/>
            <family val="2"/>
          </rPr>
          <t>Choose (pre)test SD(s) or insert your own SD for standardizing.</t>
        </r>
      </text>
    </comment>
    <comment ref="D51" authorId="0" shapeId="0">
      <text>
        <r>
          <rPr>
            <sz val="8"/>
            <color indexed="81"/>
            <rFont val="Tahoma"/>
            <family val="2"/>
          </rPr>
          <t xml:space="preserve">Copy a subject characteristic into this column to determine the modifying effect of the characteristic on the custom effect.  
You can make the predictor a binary variable coded as 0 and 1 to represent, for example, females and males, although it is better to analyze subgroups separately to allow for different errors and different effects of the other covariate, then compare and possibly combine the effects for the two (or more) groups using the combine/compare effects spreadsheet.
Copy the change score of a variable into this column to determine the mediating effect of the variable (a mechanism analysis): the extent to which the variable explains a change in the dependent variable shown by the custom effect.  The change scores for the predictor and dependent must match. The best way to generate the change scores for such a variable is to make it the dependent variable in another spreadsheet like this one.
The modifying or mediating effects are determned via the cells in the panel </t>
        </r>
        <r>
          <rPr>
            <b/>
            <sz val="8"/>
            <color indexed="81"/>
            <rFont val="Tahoma"/>
            <family val="2"/>
          </rPr>
          <t>Adjusting for, and effects of, one or both predictors</t>
        </r>
        <r>
          <rPr>
            <sz val="8"/>
            <color indexed="81"/>
            <rFont val="Tahoma"/>
            <family val="2"/>
          </rPr>
          <t>.  See the comments in those cells.</t>
        </r>
      </text>
    </comment>
    <comment ref="E51" authorId="2" shapeId="0">
      <text>
        <r>
          <rPr>
            <sz val="8"/>
            <color indexed="81"/>
            <rFont val="Tahoma"/>
            <family val="2"/>
          </rPr>
          <t xml:space="preserve">Values shown in this column by default are the (means of the) values for the treatment(s) with negative weights in the </t>
        </r>
        <r>
          <rPr>
            <b/>
            <sz val="8"/>
            <color indexed="81"/>
            <rFont val="Tahoma"/>
            <family val="2"/>
          </rPr>
          <t>Custom effect</t>
        </r>
        <r>
          <rPr>
            <sz val="8"/>
            <color indexed="81"/>
            <rFont val="Tahoma"/>
            <family val="2"/>
          </rPr>
          <t xml:space="preserve"> cells.  If any of these values are missing, the value for X2 will appear to be blank, but the cell must be fully cleared for the graph of the custom effect vs X2 to display properly (thanks to a bug in Excel).
You may insert values for some other predictor. If you do, it will be copied </t>
        </r>
        <r>
          <rPr>
            <b/>
            <sz val="8"/>
            <color indexed="81"/>
            <rFont val="Tahoma"/>
            <family val="2"/>
          </rPr>
          <t>without log-transformation</t>
        </r>
        <r>
          <rPr>
            <sz val="8"/>
            <color indexed="81"/>
            <rFont val="Tahoma"/>
            <family val="2"/>
          </rPr>
          <t xml:space="preserve"> into the columns of data for analysis of the log-transformed dependent. If it's a predictor that needs log transformation, insert the raw values here and do the log transformation in the matching column for analysis of the log-transformed dependent.
Do not delete this column. 
Do not copy-insert this column to make an extra covariate or trial. </t>
        </r>
      </text>
    </comment>
    <comment ref="F51" authorId="2" shapeId="0">
      <text>
        <r>
          <rPr>
            <sz val="8"/>
            <color indexed="81"/>
            <rFont val="Tahoma"/>
            <family val="2"/>
          </rPr>
          <t>Do not delete this column. 
Do not copy-insert this column to make extra pretests or time points.  Instead, copy-insert columns on the right.  Assign appropriate labels or time values to the columns.
If you are using log transformation, copy and insert the matching column(s) of log-transformed data.</t>
        </r>
      </text>
    </comment>
    <comment ref="G51" authorId="0" shapeId="0">
      <text>
        <r>
          <rPr>
            <sz val="8"/>
            <color indexed="81"/>
            <rFont val="Tahoma"/>
            <family val="2"/>
          </rPr>
          <t xml:space="preserve">Insert any tests or time points by copying and inserting this entire columnand/or other columns on the right.  Assign appropriate labels or time values to the columns.
You may also highlight and right-click delete entire columns.
If you are using log transformation, copy and insert or delete the matching column(s) of log-transformed data in this spreadsheet and of raw and log data in the </t>
        </r>
        <r>
          <rPr>
            <b/>
            <sz val="8"/>
            <color indexed="81"/>
            <rFont val="Tahoma"/>
            <family val="2"/>
          </rPr>
          <t xml:space="preserve">Time-series deltas </t>
        </r>
        <r>
          <rPr>
            <sz val="8"/>
            <color indexed="81"/>
            <rFont val="Tahoma"/>
            <family val="2"/>
          </rPr>
          <t xml:space="preserve">spreadsheet. You may insert or delete two or more columns in one operation, but do NOT do two insertions or deletions in the raw data, two insertions or deletions in the log data, etc. </t>
        </r>
        <r>
          <rPr>
            <b/>
            <sz val="9"/>
            <color indexed="81"/>
            <rFont val="Tahoma"/>
            <family val="2"/>
          </rPr>
          <t xml:space="preserve"> Complete one cycle of insertions or deletions before you start another cycle.</t>
        </r>
      </text>
    </comment>
    <comment ref="H51" authorId="0" shapeId="0">
      <text>
        <r>
          <rPr>
            <sz val="8"/>
            <color indexed="81"/>
            <rFont val="Tahoma"/>
            <family val="2"/>
          </rPr>
          <t xml:space="preserve">Insert any tests or time points by copying and inserting this entire columnand/or other columns on the right.  Assign appropriate labels or time values to the columns.
You may also highlight and right-click delete entire columns.
If you are using log transformation, copy and insert or delete the matching column(s) of log-transformed data in this spreadsheet and of raw and log data in the </t>
        </r>
        <r>
          <rPr>
            <b/>
            <sz val="8"/>
            <color indexed="81"/>
            <rFont val="Tahoma"/>
            <family val="2"/>
          </rPr>
          <t xml:space="preserve">Time-series deltas </t>
        </r>
        <r>
          <rPr>
            <sz val="8"/>
            <color indexed="81"/>
            <rFont val="Tahoma"/>
            <family val="2"/>
          </rPr>
          <t xml:space="preserve">spreadsheet. You may insert or delete two or more columns in one operation, but do NOT do two insertions or deletions in the raw data, two insertions or deletions in the log data, etc. </t>
        </r>
        <r>
          <rPr>
            <b/>
            <sz val="9"/>
            <color indexed="81"/>
            <rFont val="Tahoma"/>
            <family val="2"/>
          </rPr>
          <t xml:space="preserve"> Complete one cycle of insertions or deletions before you start another cycle.</t>
        </r>
      </text>
    </comment>
    <comment ref="I51" authorId="0" shapeId="0">
      <text>
        <r>
          <rPr>
            <sz val="8"/>
            <color indexed="81"/>
            <rFont val="Tahoma"/>
            <family val="2"/>
          </rPr>
          <t xml:space="preserve">Insert any tests or time points by copying and inserting this entire columnand/or other columns on the right.  Assign appropriate labels or time values to the columns.
You may also highlight and right-click delete entire columns.
If you are using log transformation, copy and insert or delete the matching column(s) of log-transformed data in this spreadsheet and of raw and log data in the </t>
        </r>
        <r>
          <rPr>
            <b/>
            <sz val="8"/>
            <color indexed="81"/>
            <rFont val="Tahoma"/>
            <family val="2"/>
          </rPr>
          <t xml:space="preserve">Time-series deltas </t>
        </r>
        <r>
          <rPr>
            <sz val="8"/>
            <color indexed="81"/>
            <rFont val="Tahoma"/>
            <family val="2"/>
          </rPr>
          <t xml:space="preserve">spreadsheet. You may insert or delete two or more columns in one operation, but do NOT do two insertions or deletions in the raw data, two insertions or deletions in the log data, etc. </t>
        </r>
        <r>
          <rPr>
            <b/>
            <sz val="9"/>
            <color indexed="81"/>
            <rFont val="Tahoma"/>
            <family val="2"/>
          </rPr>
          <t xml:space="preserve"> Complete one cycle of insertions or deletions before you start another cycle.</t>
        </r>
      </text>
    </comment>
    <comment ref="J51" authorId="0" shapeId="0">
      <text>
        <r>
          <rPr>
            <sz val="8"/>
            <color indexed="81"/>
            <rFont val="Tahoma"/>
            <family val="2"/>
          </rPr>
          <t xml:space="preserve">Insert any tests or time points by copying and inserting this entire columnand/or other columns on the left (but not the Pre1 column).  Assign appropriate labels or time values to the columns.
You may also highlight and right-click delete entire columns.
If you are using log transformation, copy and insert or delete the matching column(s) of log-transformed data in this spreadsheet and of raw and log data in the </t>
        </r>
        <r>
          <rPr>
            <b/>
            <sz val="8"/>
            <color indexed="81"/>
            <rFont val="Tahoma"/>
            <family val="2"/>
          </rPr>
          <t xml:space="preserve">Time-series deltas </t>
        </r>
        <r>
          <rPr>
            <sz val="8"/>
            <color indexed="81"/>
            <rFont val="Tahoma"/>
            <family val="2"/>
          </rPr>
          <t xml:space="preserve">spreadsheet. You may insert or delete two or more columns in one operation, but do NOT do two insertions or deletions in the raw data, two insertions or deletions in the log data, etc. </t>
        </r>
        <r>
          <rPr>
            <b/>
            <sz val="9"/>
            <color indexed="81"/>
            <rFont val="Tahoma"/>
            <family val="2"/>
          </rPr>
          <t xml:space="preserve"> Complete one cycle of insertions or deletions before you start another cycle.</t>
        </r>
      </text>
    </comment>
    <comment ref="K51" authorId="2" shapeId="0">
      <text>
        <r>
          <rPr>
            <sz val="8"/>
            <color indexed="81"/>
            <rFont val="Tahoma"/>
            <family val="2"/>
          </rPr>
          <t>Do not add data to this column.  Instead, copy and insert an existing data column to the left of this column.  But do not copy and insert the first data column.</t>
        </r>
      </text>
    </comment>
    <comment ref="U51" authorId="2" shapeId="0">
      <text>
        <r>
          <rPr>
            <sz val="8"/>
            <color indexed="81"/>
            <rFont val="Tahoma"/>
            <family val="2"/>
          </rPr>
          <t>This predictor variable is not currently transformed.</t>
        </r>
      </text>
    </comment>
    <comment ref="V51" authorId="2" shapeId="0">
      <text>
        <r>
          <rPr>
            <sz val="8"/>
            <color indexed="81"/>
            <rFont val="Tahoma"/>
            <family val="2"/>
          </rPr>
          <t xml:space="preserve">Values shown in this column by default are the (means of the) values for the treatment(s) with negative weights in the </t>
        </r>
        <r>
          <rPr>
            <b/>
            <sz val="8"/>
            <color indexed="81"/>
            <rFont val="Tahoma"/>
            <family val="2"/>
          </rPr>
          <t>Custom effect</t>
        </r>
        <r>
          <rPr>
            <sz val="8"/>
            <color indexed="81"/>
            <rFont val="Tahoma"/>
            <family val="2"/>
          </rPr>
          <t xml:space="preserve"> cells.  If any of these values are missing, the value for X2 will appear to be blank, but the cell must be fully cleared for the graph of the custom effect vs X2 to display properly (thanks to a bug in Excel).
You may insert values for some other predictor. If you have inserted the values over in the column for raw data, the values will appear here without log transformation.  If the  predictor needs log transformation, you will have to put the appropriate formula in these cells.
Do not delete this column. 
Do not copy-insert this column to make an extra covariate or trial. </t>
        </r>
      </text>
    </comment>
    <comment ref="W51" authorId="2" shapeId="0">
      <text>
        <r>
          <rPr>
            <sz val="8"/>
            <color indexed="81"/>
            <rFont val="Tahoma"/>
            <family val="2"/>
          </rPr>
          <t>Do not delete this column. 
Do not copy-insert this column to make extra tests or time points  Instead, copy-insert columns on the right.</t>
        </r>
      </text>
    </comment>
    <comment ref="X51" authorId="0" shapeId="0">
      <text>
        <r>
          <rPr>
            <sz val="8"/>
            <color indexed="81"/>
            <rFont val="Tahoma"/>
            <family val="2"/>
          </rPr>
          <t>If you have inserted or deleted columns of raw data, and you want analysis of log-transformed values, make sure you insert or delete matching columns here and in the raw and log data of the</t>
        </r>
        <r>
          <rPr>
            <b/>
            <sz val="8"/>
            <color indexed="81"/>
            <rFont val="Tahoma"/>
            <family val="2"/>
          </rPr>
          <t>Time-series deltas</t>
        </r>
        <r>
          <rPr>
            <sz val="8"/>
            <color indexed="81"/>
            <rFont val="Tahoma"/>
            <family val="2"/>
          </rPr>
          <t xml:space="preserve"> spreadsheet.</t>
        </r>
      </text>
    </comment>
    <comment ref="Y51" authorId="0"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Z51" authorId="0"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AA51" authorId="0"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AB51" authorId="2" shapeId="0">
      <text>
        <r>
          <rPr>
            <sz val="8"/>
            <color indexed="81"/>
            <rFont val="Tahoma"/>
            <family val="2"/>
          </rPr>
          <t>Do not add data to this column.  Instead, copy and insert an existing data column to the left of this column.  But do not copy and insert the first data column.</t>
        </r>
      </text>
    </comment>
    <comment ref="L72"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custom effect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AC72"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custom effect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L73"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73"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L76" authorId="0"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 xml:space="preserve">Adjusted to predictor = </t>
        </r>
        <r>
          <rPr>
            <sz val="8"/>
            <color indexed="81"/>
            <rFont val="Tahoma"/>
            <family val="2"/>
          </rPr>
          <t>cell.</t>
        </r>
      </text>
    </comment>
    <comment ref="AC76"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L77"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77"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78" authorId="2" shapeId="0">
      <text>
        <r>
          <rPr>
            <sz val="8"/>
            <color indexed="81"/>
            <rFont val="Tahoma"/>
            <family val="2"/>
          </rPr>
          <t xml:space="preserve">If you inserted a value in the </t>
        </r>
        <r>
          <rPr>
            <b/>
            <sz val="8"/>
            <color indexed="81"/>
            <rFont val="Tahoma"/>
            <family val="2"/>
          </rPr>
          <t xml:space="preserve">Effect of delta predictor = </t>
        </r>
        <r>
          <rPr>
            <sz val="8"/>
            <color indexed="81"/>
            <rFont val="Tahoma"/>
            <family val="2"/>
          </rPr>
          <t xml:space="preserve">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AC79"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80" authorId="0"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 xml:space="preserve">Adjusted to predictor = </t>
        </r>
        <r>
          <rPr>
            <sz val="8"/>
            <color indexed="81"/>
            <rFont val="Tahoma"/>
            <family val="2"/>
          </rPr>
          <t>cell.</t>
        </r>
      </text>
    </comment>
    <comment ref="AC81"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O83" authorId="2" shapeId="0">
      <text>
        <r>
          <rPr>
            <sz val="8"/>
            <color indexed="81"/>
            <rFont val="Tahoma"/>
            <family val="2"/>
          </rPr>
          <t>Individual values in these columns are adjusted only for the predictor shown, and the values are used to plot graphs of the effect vs the other predictor.  All other values lower down are adjusted for both predictors or show the effect of delta predictor adjusted for the other predictor.</t>
        </r>
      </text>
    </comment>
    <comment ref="AF83" authorId="2" shapeId="0">
      <text>
        <r>
          <rPr>
            <sz val="8"/>
            <color indexed="81"/>
            <rFont val="Tahoma"/>
            <family val="2"/>
          </rPr>
          <t>Individual values in these columns are adjusted only for the predictor shown, and the values are used to plot graphs of the effect vs the other predictor.  All other values lower down are adjusted for both predictors or show the effect of delta predictor adjusted for the other predictor.</t>
        </r>
      </text>
    </comment>
    <comment ref="L105"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custom effect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AC105"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custom effect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L106"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106"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L109" authorId="0"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 xml:space="preserve">Adjusted to predictor = </t>
        </r>
        <r>
          <rPr>
            <sz val="8"/>
            <color indexed="81"/>
            <rFont val="Tahoma"/>
            <family val="2"/>
          </rPr>
          <t>cell.</t>
        </r>
      </text>
    </comment>
    <comment ref="AC109" authorId="2"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L110"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110"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111" authorId="2" shapeId="0">
      <text>
        <r>
          <rPr>
            <sz val="8"/>
            <color indexed="81"/>
            <rFont val="Tahoma"/>
            <family val="2"/>
          </rPr>
          <t xml:space="preserve">If you inserted a value in the </t>
        </r>
        <r>
          <rPr>
            <b/>
            <sz val="8"/>
            <color indexed="81"/>
            <rFont val="Tahoma"/>
            <family val="2"/>
          </rPr>
          <t xml:space="preserve">Effect of delta predictor = </t>
        </r>
        <r>
          <rPr>
            <sz val="8"/>
            <color indexed="81"/>
            <rFont val="Tahoma"/>
            <family val="2"/>
          </rPr>
          <t xml:space="preserve">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Adjusted to predictor =</t>
        </r>
        <r>
          <rPr>
            <sz val="8"/>
            <color indexed="81"/>
            <rFont val="Tahoma"/>
            <family val="2"/>
          </rPr>
          <t xml:space="preserve"> cell.</t>
        </r>
      </text>
    </comment>
    <comment ref="AC112"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AC113" authorId="0" shapeId="0">
      <text>
        <r>
          <rPr>
            <sz val="8"/>
            <color indexed="81"/>
            <rFont val="Tahoma"/>
            <family val="2"/>
          </rPr>
          <t xml:space="preserve">If you inserted a value in the </t>
        </r>
        <r>
          <rPr>
            <b/>
            <sz val="8"/>
            <color indexed="81"/>
            <rFont val="Tahoma"/>
            <family val="2"/>
          </rPr>
          <t>Effect of delta predictor =</t>
        </r>
        <r>
          <rPr>
            <sz val="8"/>
            <color indexed="81"/>
            <rFont val="Tahoma"/>
            <family val="2"/>
          </rPr>
          <t xml:space="preserve"> cell, the values shown here are the predicted effect of the difference in the predictor.  Otherwise the values are the mean change adjusted or unadjusted for the predictor, depending on whether or not you put a value  in the </t>
        </r>
        <r>
          <rPr>
            <b/>
            <sz val="8"/>
            <color indexed="81"/>
            <rFont val="Tahoma"/>
            <family val="2"/>
          </rPr>
          <t xml:space="preserve">Adjusted to predictor = </t>
        </r>
        <r>
          <rPr>
            <sz val="8"/>
            <color indexed="81"/>
            <rFont val="Tahoma"/>
            <family val="2"/>
          </rPr>
          <t>cell.</t>
        </r>
      </text>
    </comment>
    <comment ref="AC114" authorId="2" shapeId="0">
      <text>
        <r>
          <rPr>
            <sz val="8"/>
            <color indexed="81"/>
            <rFont val="Tahoma"/>
            <family val="2"/>
          </rPr>
          <t>The SD is the standard deviation of the custom effect.  The SEE (standard error of the estimate) is the standard deviation of the custom effect after the effect of the predictor(s) has been taken into account.  If the predictor has little effect on the custom effect, the SEE will be similar to the SD; otherwise it will be smaller.
When the SD (or SEE) of the exptal group is bigger than that in the control group, you have evidence of individual responses to the treatment (or individual responses still not accounted for by the predictor, if you have adjusted for the predictor).</t>
        </r>
      </text>
    </comment>
    <comment ref="T121" authorId="1" shapeId="0">
      <text>
        <r>
          <rPr>
            <sz val="9"/>
            <color indexed="81"/>
            <rFont val="Tahoma"/>
            <family val="2"/>
          </rPr>
          <t>Values for the back-transformed mean and SD of X1 (the first predictor) will be provided only if you have log-transformed the predictor.</t>
        </r>
      </text>
    </comment>
    <comment ref="E126" authorId="0" shapeId="0">
      <text>
        <r>
          <rPr>
            <sz val="8"/>
            <color indexed="81"/>
            <rFont val="Tahoma"/>
            <family val="2"/>
          </rPr>
          <t>A "1" is automatically placed in the cells on the right corresponding to the  test(s) with negative weights in the</t>
        </r>
        <r>
          <rPr>
            <b/>
            <sz val="8"/>
            <color indexed="81"/>
            <rFont val="Tahoma"/>
            <family val="2"/>
          </rPr>
          <t xml:space="preserve"> Custom effect </t>
        </r>
        <r>
          <rPr>
            <sz val="8"/>
            <color indexed="81"/>
            <rFont val="Tahoma"/>
            <family val="2"/>
          </rPr>
          <t>cells.   The (pre)test SDs are averaged and used to calculate standardized effects.</t>
        </r>
      </text>
    </comment>
    <comment ref="V126" authorId="0" shapeId="0">
      <text>
        <r>
          <rPr>
            <sz val="8"/>
            <color indexed="81"/>
            <rFont val="Tahoma"/>
            <family val="2"/>
          </rPr>
          <t>A "1" is automatically placed in the cells on the right corresponding to the  test(s) with negative weights in the</t>
        </r>
        <r>
          <rPr>
            <b/>
            <sz val="8"/>
            <color indexed="81"/>
            <rFont val="Tahoma"/>
            <family val="2"/>
          </rPr>
          <t xml:space="preserve"> Custom effect </t>
        </r>
        <r>
          <rPr>
            <sz val="8"/>
            <color indexed="81"/>
            <rFont val="Tahoma"/>
            <family val="2"/>
          </rPr>
          <t>cells.   The (pre)test SDs are averaged and used to calculate standardized effects.</t>
        </r>
      </text>
    </comment>
    <comment ref="E127" authorId="2" shapeId="0">
      <text>
        <r>
          <rPr>
            <sz val="8"/>
            <color indexed="81"/>
            <rFont val="Tahoma"/>
            <family val="2"/>
          </rPr>
          <t xml:space="preserve">Place "1" in cell(s) to choose the test(s).
You will want to use this option to select the most appropriate (pre)test(s) when the custom effect does not involve the (pre)tests. </t>
        </r>
      </text>
    </comment>
    <comment ref="V127" authorId="2" shapeId="0">
      <text>
        <r>
          <rPr>
            <sz val="8"/>
            <color indexed="81"/>
            <rFont val="Tahoma"/>
            <family val="2"/>
          </rPr>
          <t xml:space="preserve">Place "1" in cell(s) to choose the test(s).
You will want to use this option to select the most appropriate (pre)test(s) when the custom effect does not involve the (pre)tests. </t>
        </r>
      </text>
    </comment>
    <comment ref="E129" authorId="0" shapeId="0">
      <text>
        <r>
          <rPr>
            <sz val="8"/>
            <color indexed="81"/>
            <rFont val="Tahoma"/>
            <family val="2"/>
          </rPr>
          <t>The mean SD of the pretests indicated by "1"s in the above row.  The mean is obtained by averaging the variances and taking the square root.  Show this value in any publication as the SD used for standardizing.</t>
        </r>
      </text>
    </comment>
    <comment ref="V129" authorId="2" shapeId="0">
      <text>
        <r>
          <rPr>
            <sz val="8"/>
            <color indexed="81"/>
            <rFont val="Tahoma"/>
            <family val="2"/>
          </rPr>
          <t>If you have already inserted values for the raw SD and its matching mean, the SD shown here is log-transformed with the formula 100*ln(1+SD/Mean).
If you have calculated a log-transformed value yourself (e.g., from data for three or more groups), insert the value and its sample size here by overwriting the formulae in these cells.</t>
        </r>
      </text>
    </comment>
    <comment ref="E130" authorId="2" shapeId="0">
      <text>
        <r>
          <rPr>
            <sz val="8"/>
            <color indexed="81"/>
            <rFont val="Tahoma"/>
            <family val="2"/>
          </rPr>
          <t xml:space="preserve">Insert a value in this cell if you want to use standardization to assess magnitude, but your sample is not representative of some population of interest.
You should also insert a value here if you have more than two groups. Use a separate spreadsheet to calculate the SD for the appopriate pretest(s) of all the groups combined.
For analysis via log transformation, insert a value for </t>
        </r>
        <r>
          <rPr>
            <b/>
            <sz val="8"/>
            <color indexed="81"/>
            <rFont val="Tahoma"/>
            <family val="2"/>
          </rPr>
          <t>its matching mean</t>
        </r>
        <r>
          <rPr>
            <sz val="8"/>
            <color indexed="81"/>
            <rFont val="Tahoma"/>
            <family val="2"/>
          </rPr>
          <t xml:space="preserve"> to allow this SD to be log-transformed with the formula 100*ln(1+SD/Mean). Or you can insert the SD for the log-transformed values on the right, if you have them.</t>
        </r>
      </text>
    </comment>
    <comment ref="V131" authorId="0" shapeId="0">
      <text>
        <r>
          <rPr>
            <sz val="8"/>
            <color indexed="81"/>
            <rFont val="Tahoma"/>
            <family val="2"/>
          </rPr>
          <t>The mean SD of the pretests indicated by "1"s in the above row.  The mean is obtained by averaging the variances and taking the square root.  Show this value in any publication as the SD used for standardizing.</t>
        </r>
      </text>
    </comment>
    <comment ref="E132" authorId="2" shapeId="0">
      <text>
        <r>
          <rPr>
            <sz val="8"/>
            <color indexed="81"/>
            <rFont val="Tahoma"/>
            <family val="2"/>
          </rPr>
          <t>Insert a value only if the dependent variable needs log-transformation and you do not have the SD of the log-transformed pre-test(s)</t>
        </r>
      </text>
    </comment>
    <comment ref="E133" authorId="0" shapeId="0">
      <text>
        <r>
          <rPr>
            <sz val="9"/>
            <color indexed="81"/>
            <rFont val="Tahoma"/>
            <family val="2"/>
          </rPr>
          <t>This is the value used in the calculation of the standardized effects.  It is the SD above divided by (1-3/(4v-1)) to remove the small-sample bias in the estimates of standardized effects.  v is the degrees of freedom for the SD.</t>
        </r>
      </text>
    </comment>
    <comment ref="V133" authorId="0" shapeId="0">
      <text>
        <r>
          <rPr>
            <sz val="9"/>
            <color indexed="81"/>
            <rFont val="Tahoma"/>
            <family val="2"/>
          </rPr>
          <t>This is the value used in the calculation of the standardized effects.  It is the SD above divided by (1-3/(4v-1)) to remove the small-sample bias in the estimates of standardized effects.  v is the degrees of freedom for the SD.</t>
        </r>
      </text>
    </comment>
    <comment ref="E135" authorId="0" shapeId="0">
      <text>
        <r>
          <rPr>
            <sz val="9"/>
            <color indexed="81"/>
            <rFont val="Tahoma"/>
            <family val="2"/>
          </rPr>
          <t>This is the value used in the calculation of magnitude thresholds for the ratio of the SD.</t>
        </r>
      </text>
    </comment>
    <comment ref="V135" authorId="0" shapeId="0">
      <text>
        <r>
          <rPr>
            <sz val="9"/>
            <color indexed="81"/>
            <rFont val="Tahoma"/>
            <family val="2"/>
          </rPr>
          <t>This is the value used in the calculation of magnitude thresholds for the ratio of the SD.</t>
        </r>
      </text>
    </comment>
    <comment ref="B144" authorId="2" shapeId="0">
      <text>
        <r>
          <rPr>
            <sz val="8"/>
            <color indexed="81"/>
            <rFont val="Tahoma"/>
            <family val="2"/>
          </rPr>
          <t xml:space="preserve">Use these cells to assess the balance of assignment to the groups. Interpret the magnitude of the observed difference. Compatibility limits and MBD chances are not provided. Why?  Because an inference simply does not make sense, when you know that the subjects come from the same population. 
What is important is the </t>
        </r>
        <r>
          <rPr>
            <i/>
            <sz val="8"/>
            <color indexed="81"/>
            <rFont val="Tahoma"/>
            <family val="2"/>
          </rPr>
          <t xml:space="preserve">actual observed </t>
        </r>
        <r>
          <rPr>
            <sz val="8"/>
            <color indexed="81"/>
            <rFont val="Tahoma"/>
            <family val="2"/>
          </rPr>
          <t xml:space="preserve">difference in the means: the bigger the difference, the more you should be worried about adjusting for the difference. Even when there is only a trivial difference in the means, you might still want to estimate the extent to which the covariate modifies the effect of the treatment, therby explaining some individual responses and improving the precision of the mean effect (reducing the width of the confidence interval). However, this spreadsheet allows you to investigate only one covariate at a time (apart from the baseline of the dependent).  So if there is only a trivial difference in the means of a given covariate, adjusting for it is unlikely to make a substantial difference to the mean effect of the treatment. It might make a difference to the confidence interval for the mean effect, if the covariate accounts for individual responses.  Try it out to see. If including the covariate makes no substantial difference to the mean effect and does not improve the precision, you can justify leaving it out of the analysis and thereby allowing you to investigate another covariate.
If the subjects in the two groups come from different populations, and you really are interested in making a decision about how different the populations are, use the spreadsheet </t>
        </r>
        <r>
          <rPr>
            <b/>
            <sz val="8"/>
            <color indexed="81"/>
            <rFont val="Tahoma"/>
            <family val="2"/>
          </rPr>
          <t>Compare 2 or 3 group means</t>
        </r>
        <r>
          <rPr>
            <sz val="8"/>
            <color indexed="81"/>
            <rFont val="Tahoma"/>
            <family val="2"/>
          </rPr>
          <t>.</t>
        </r>
      </text>
    </comment>
    <comment ref="S144" authorId="2" shapeId="0">
      <text>
        <r>
          <rPr>
            <sz val="8"/>
            <color indexed="81"/>
            <rFont val="Tahoma"/>
            <family val="2"/>
          </rPr>
          <t xml:space="preserve">Use these cells to assess the balance of assignment to the groups. Interpret the magnitude of the observed difference. Compatibility limits and MBD chances are not provided. Why?  Because an inference simply does not make sense, when you know that the subjects come from the same population. 
What is important is the </t>
        </r>
        <r>
          <rPr>
            <i/>
            <sz val="8"/>
            <color indexed="81"/>
            <rFont val="Tahoma"/>
            <family val="2"/>
          </rPr>
          <t xml:space="preserve">actual observed </t>
        </r>
        <r>
          <rPr>
            <sz val="8"/>
            <color indexed="81"/>
            <rFont val="Tahoma"/>
            <family val="2"/>
          </rPr>
          <t xml:space="preserve">difference in the means: the bigger the difference, the more you should be worried about adjusting for the difference. Even when there is only a trivial difference in the means, you might still want to estimate the extent to which the covariate modifies the effect of the treatment, therby explaining some individual responses and improving the precision of the mean effect (reducing the width of the confidence interval). However, this spreadsheet allows you to investigate only one covariate at a time (apart from the baseline of the dependent).  So if there is only a trivial difference in the means of a given covariate, adjusting for it is unlikely to make a substantial difference to the mean effect of the treatment. It might make a difference to the confidence interval for the mean effect, if the covariate accounts for individual responses.  Try it out to see. If including the covariate makes no substantial difference to the mean effect and does not improve the precision, you can justify leaving it out of the analysis and thereby allowing you to investigate another covariate.
If the subjects in the two groups come from different populations, and you really are interested in making a decision about how different the populations are, use the spreadsheet </t>
        </r>
        <r>
          <rPr>
            <b/>
            <sz val="8"/>
            <color indexed="81"/>
            <rFont val="Tahoma"/>
            <family val="2"/>
          </rPr>
          <t>Compare 2 or 3 group means</t>
        </r>
        <r>
          <rPr>
            <sz val="8"/>
            <color indexed="81"/>
            <rFont val="Tahoma"/>
            <family val="2"/>
          </rPr>
          <t>.</t>
        </r>
      </text>
    </comment>
    <comment ref="K153" authorId="0" shapeId="0">
      <text>
        <r>
          <rPr>
            <sz val="8"/>
            <color indexed="81"/>
            <rFont val="Tahoma"/>
            <family val="2"/>
          </rPr>
          <t>The qualitative probabilities are defined by the following scale:
&lt;0.5%, most unlikely, almost certainly not
&lt;5%, very unlikely
&lt;25%, unlikely, probably not
25-75%, possibly, possibly not
&gt;75%, likely, probably
&gt;95%, very likely
&gt;99.5%, most likely, almost certainly</t>
        </r>
      </text>
    </comment>
    <comment ref="AB153" authorId="0" shapeId="0">
      <text>
        <r>
          <rPr>
            <sz val="8"/>
            <color indexed="81"/>
            <rFont val="Tahoma"/>
            <family val="2"/>
          </rPr>
          <t>The qualitative probabilities are defined by the following scale:
&lt;0.5%, most unlikely, almost certainly not
&lt;5%, very unlikely
&lt;25%, unlikely, probably not
25-75%, possibly, possibly not
&gt;75%, likely, probably
&gt;95%, very likely
&gt;99.5%, most likely, almost certainly</t>
        </r>
      </text>
    </comment>
    <comment ref="B164" authorId="0" shapeId="0">
      <text>
        <r>
          <rPr>
            <sz val="8"/>
            <color indexed="81"/>
            <rFont val="Tahoma"/>
            <family val="2"/>
          </rPr>
          <t>You would not normally bother to compare the between-subject SDs at baseline or in post-tests. A positive value of the SD here indicates a larger standard deviation in the exptal group; a negative value indicates the opposite. The thresholds for the magnitude of the SD are half those for comparison of differences or changes in means.</t>
        </r>
      </text>
    </comment>
    <comment ref="L164" authorId="2" shapeId="0">
      <text>
        <r>
          <rPr>
            <sz val="9"/>
            <color indexed="81"/>
            <rFont val="Tahoma"/>
            <family val="2"/>
          </rPr>
          <t xml:space="preserve">This SD is a measure of the extent to which the SD of the custom effect in the experimental group is greater than that in the control group, and it represents individual responses (individual differences in the response) to the intervention in the experimental group. A negative value indicates a greater SD in the control group, either because of sampling variation or because the intervention has reduced the between-subject differences in the custom effect through a ceiling or homogenizing effect.
The smallest important and other magnitude thresholds for this (and any other SD) are half those for mean effects, because to properly assess the magnitude of the "effect" represented by an SD, you need to evaluate the difference between the mean + SD and the mean - SD: 2SD, in other words.
A full magnitude-based inference is shown in a panel at the bottom of this spreadsheet, but you can see whether the SD is clear here by simply assessing the coverage of its confidence interval. You usually need a  large sample size or large individual responses for the SD to be clear.
See also the comment in the cell </t>
        </r>
        <r>
          <rPr>
            <b/>
            <sz val="9"/>
            <color indexed="81"/>
            <rFont val="Tahoma"/>
            <family val="2"/>
          </rPr>
          <t>Hover cursor for instructions on individual responses</t>
        </r>
        <r>
          <rPr>
            <sz val="9"/>
            <color indexed="81"/>
            <rFont val="Tahoma"/>
            <family val="2"/>
          </rPr>
          <t xml:space="preserve"> at the top left of the spreadsheet.</t>
        </r>
      </text>
    </comment>
    <comment ref="S164" authorId="0" shapeId="0">
      <text>
        <r>
          <rPr>
            <sz val="8"/>
            <color indexed="81"/>
            <rFont val="Tahoma"/>
            <family val="2"/>
          </rPr>
          <t xml:space="preserve">You would not normally bother to compare the between-subject SDs at baseline or in post-tests. A positive value of the SD here indicates a larger standard deviation in the exptal group; a negative value indicates the opposite. The thresholds for the magnitude of the SD are half those for comparison of differences or changes in means. </t>
        </r>
      </text>
    </comment>
    <comment ref="AC164" authorId="2" shapeId="0">
      <text>
        <r>
          <rPr>
            <sz val="9"/>
            <color indexed="81"/>
            <rFont val="Tahoma"/>
            <family val="2"/>
          </rPr>
          <t xml:space="preserve">This SD is a measure of the extent to which the SD of the custom effect in the experimental group is greater than that in the control group, and it represents individual responses (individual differences in the response) to the intervention in the experimental group. A negative value indicates a greater SD in the control group, either because of sampling variation or because the intervention has reduced the between-subject differences in the custom effect through a ceiling or homogenizing effect.
The smallest important and other magnitude thresholds for this (and any other SD) are half those for mean effects, because to properly assess the magnitude of the "effect" represented by an SD, you need to evaluate the difference between the mean + SD and the mean - SD: 2SD, in other words.
A full magnitude-based inference is shown in a panel at the bottom of this spreadsheet, but you can see whether the SD is clear here by simply assessing the coverage of its confidence interval. You usually need a  large sample size or large individual responses for the SD to be clear.
See also the comment in the cell </t>
        </r>
        <r>
          <rPr>
            <b/>
            <sz val="9"/>
            <color indexed="81"/>
            <rFont val="Tahoma"/>
            <family val="2"/>
          </rPr>
          <t>Hover cursor for instructions on individual responses</t>
        </r>
        <r>
          <rPr>
            <sz val="9"/>
            <color indexed="81"/>
            <rFont val="Tahoma"/>
            <family val="2"/>
          </rPr>
          <t xml:space="preserve"> at the top left of the spreadsheet.</t>
        </r>
      </text>
    </comment>
    <comment ref="S170" authorId="2" shapeId="0">
      <text>
        <r>
          <rPr>
            <sz val="8"/>
            <color indexed="81"/>
            <rFont val="Tahoma"/>
            <family val="2"/>
          </rPr>
          <t xml:space="preserve">Use these cells to assess the balance of assignment to the groups. Interpret the magnitude of the observed difference. Compatibility limits and MBD chances are not provided. Why?  Because an inference simply does not make sense, when you know that the subjects come from the same population. 
What is important is the </t>
        </r>
        <r>
          <rPr>
            <i/>
            <sz val="8"/>
            <color indexed="81"/>
            <rFont val="Tahoma"/>
            <family val="2"/>
          </rPr>
          <t xml:space="preserve">actual observed </t>
        </r>
        <r>
          <rPr>
            <sz val="8"/>
            <color indexed="81"/>
            <rFont val="Tahoma"/>
            <family val="2"/>
          </rPr>
          <t xml:space="preserve">difference in the means: the bigger the difference, the more you should be worried about adjusting for the difference. Even when there is only a trivial difference in the means, you might still want to estimate the extent to which the covariate modifies the effect of the treatment, therby explaining some individual responses and improving the precision of the mean effect (reducing the width of the confidence interval). However, this spreadsheet allows you to investigate only one covariate at a time (apart from the baseline of the dependent).  So if there is only a trivial difference in the means of a given covariate, adjusting for it is unlikely to make a substantial difference to the mean effect of the treatment. It might make a difference to the confidence interval for the mean effect, if the covariate accounts for individual responses.  Try it out to see. If including the covariate makes no substantial difference to the mean effect and does not improve the precision, you can justify leaving it out of the analysis and thereby allowing you to investigate another covariate.
If the subjects in the two groups come from different populations, and you really are interested in making a decision about how different the populations are, use the spreadsheet </t>
        </r>
        <r>
          <rPr>
            <b/>
            <sz val="8"/>
            <color indexed="81"/>
            <rFont val="Tahoma"/>
            <family val="2"/>
          </rPr>
          <t>Compare 2 or 3 group means</t>
        </r>
        <r>
          <rPr>
            <sz val="8"/>
            <color indexed="81"/>
            <rFont val="Tahoma"/>
            <family val="2"/>
          </rPr>
          <t>.</t>
        </r>
      </text>
    </comment>
    <comment ref="AB179" authorId="0" shapeId="0">
      <text>
        <r>
          <rPr>
            <sz val="8"/>
            <color indexed="81"/>
            <rFont val="Tahoma"/>
            <family val="2"/>
          </rPr>
          <t>The qualitative probabilities are defined by the following scale:
&lt;0.5%, most unlikely, almost certainly not
&lt;5%, very unlikely
&lt;25%, unlikely, probably not
25-75%, possibly, possibly not
&gt;75%, likely, probably
&gt;95%, very likely
&gt;99.5%, most likely, almost certainly</t>
        </r>
      </text>
    </comment>
    <comment ref="S190" authorId="0" shapeId="0">
      <text>
        <r>
          <rPr>
            <sz val="8"/>
            <color indexed="81"/>
            <rFont val="Tahoma"/>
            <family val="2"/>
          </rPr>
          <t xml:space="preserve">You would not normally bother to compare the between-subject SDs at baseline or in post-tests. A positive value of the SD here indicates a larger standard deviation in the exptal group; a negative value indicates the opposite. The thresholds for the magnitude of the SD are half those for comparison of differences or changes in means. </t>
        </r>
      </text>
    </comment>
    <comment ref="AC190" authorId="2" shapeId="0">
      <text>
        <r>
          <rPr>
            <sz val="9"/>
            <color indexed="81"/>
            <rFont val="Tahoma"/>
            <family val="2"/>
          </rPr>
          <t xml:space="preserve">This SD is a measure of the extent to which the SD of the custom effect in the experimental group is greater than that in the control group, and it represents individual responses (individual differences in the response) to the intervention in the experimental group. A negative value indicates a greater SD in the control group, either because of sampling variation or because the intervention has reduced the between-subject differences in the custom effect through a ceiling or homogenizing effect.
The smallest important and other magnitude thresholds for this (and any other SD) are half those for mean effects, because to properly assess the magnitude of the "effect" represented by an SD, you need to evaluate the difference between the mean + SD and the mean - SD: 2SD, in other words.
A full magnitude-based inference is shown in a panel at the bottom of this spreadsheet, but you can see whether the SD is clear here by simply assessing the coverage of its confidence interval. You usually need a  large sample size or large individual responses for the SD to be clear.
See also the comment in the cell </t>
        </r>
        <r>
          <rPr>
            <b/>
            <sz val="9"/>
            <color indexed="81"/>
            <rFont val="Tahoma"/>
            <family val="2"/>
          </rPr>
          <t>Hover cursor for instructions on individual responses</t>
        </r>
        <r>
          <rPr>
            <sz val="9"/>
            <color indexed="81"/>
            <rFont val="Tahoma"/>
            <family val="2"/>
          </rPr>
          <t xml:space="preserve"> at the top left of the spreadsheet.</t>
        </r>
      </text>
    </comment>
    <comment ref="B196" authorId="2" shapeId="0">
      <text>
        <r>
          <rPr>
            <sz val="8"/>
            <color indexed="81"/>
            <rFont val="Tahoma"/>
            <family val="2"/>
          </rPr>
          <t xml:space="preserve">Use these cells to assess the balance of assignment to the groups. Interpret the magnitude of the observed difference. Compatibility limits and MBD chances are not provided. Why?  Because an inference simply does not make sense, when you know that the subjects come from the same population. 
What is important is the </t>
        </r>
        <r>
          <rPr>
            <i/>
            <sz val="8"/>
            <color indexed="81"/>
            <rFont val="Tahoma"/>
            <family val="2"/>
          </rPr>
          <t xml:space="preserve">actual observed </t>
        </r>
        <r>
          <rPr>
            <sz val="8"/>
            <color indexed="81"/>
            <rFont val="Tahoma"/>
            <family val="2"/>
          </rPr>
          <t xml:space="preserve">difference in the means: the bigger the difference, the more you should be worried about adjusting for the difference. Even when there is only a trivial difference in the means, you might still want to estimate the extent to which the covariate modifies the effect of the treatment, therby explaining some individual responses and improving the precision of the mean effect (reducing the width of the confidence interval). However, this spreadsheet allows you to investigate only one covariate at a time (apart from the baseline of the dependent).  So if there is only a trivial difference in the means of a given covariate, adjusting for it is unlikely to make a substantial difference to the mean effect of the treatment. It might make a difference to the confidence interval for the mean effect, if the covariate accounts for individual responses.  Try it out to see. If including the covariate makes no substantial difference to the mean effect and does not improve the precision, you can justify leaving it out of the analysis and thereby allowing you to investigate another covariate.
If the subjects in the two groups come from different populations, and you really are interested in making a decision about how different the populations are, use the spreadsheet </t>
        </r>
        <r>
          <rPr>
            <b/>
            <sz val="8"/>
            <color indexed="81"/>
            <rFont val="Tahoma"/>
            <family val="2"/>
          </rPr>
          <t>Compare 2 or 3 group means</t>
        </r>
        <r>
          <rPr>
            <sz val="8"/>
            <color indexed="81"/>
            <rFont val="Tahoma"/>
            <family val="2"/>
          </rPr>
          <t>.</t>
        </r>
      </text>
    </comment>
    <comment ref="S196" authorId="2" shapeId="0">
      <text>
        <r>
          <rPr>
            <sz val="8"/>
            <color indexed="81"/>
            <rFont val="Tahoma"/>
            <family val="2"/>
          </rPr>
          <t xml:space="preserve">Use these cells to assess the balance of assignment to the groups. Interpret the magnitude of the observed difference. Compatibility limits and MBD chances are not provided. Why?  Because an inference simply does not make sense, when you know that the subjects come from the same population. 
What is important is the </t>
        </r>
        <r>
          <rPr>
            <i/>
            <sz val="8"/>
            <color indexed="81"/>
            <rFont val="Tahoma"/>
            <family val="2"/>
          </rPr>
          <t xml:space="preserve">actual observed </t>
        </r>
        <r>
          <rPr>
            <sz val="8"/>
            <color indexed="81"/>
            <rFont val="Tahoma"/>
            <family val="2"/>
          </rPr>
          <t xml:space="preserve">difference in the means: the bigger the difference, the more you should be worried about adjusting for the difference. Even when there is only a trivial difference in the means, you might still want to estimate the extent to which the covariate modifies the effect of the treatment, therby explaining some individual responses and improving the precision of the mean effect (reducing the width of the confidence interval). However, this spreadsheet allows you to investigate only one covariate at a time (apart from the baseline of the dependent).  So if there is only a trivial difference in the means of a given covariate, adjusting for it is unlikely to make a substantial difference to the mean effect of the treatment. It might make a difference to the confidence interval for the mean effect, if the covariate accounts for individual responses.  Try it out to see. If including the covariate makes no substantial difference to the mean effect and does not improve the precision, you can justify leaving it out of the analysis and thereby allowing you to investigate another covariate.
If the subjects in the two groups come from different populations, and you really are interested in making a decision about how different the populations are, use the spreadsheet </t>
        </r>
        <r>
          <rPr>
            <b/>
            <sz val="8"/>
            <color indexed="81"/>
            <rFont val="Tahoma"/>
            <family val="2"/>
          </rPr>
          <t>Compare 2 or 3 group means</t>
        </r>
        <r>
          <rPr>
            <sz val="8"/>
            <color indexed="81"/>
            <rFont val="Tahoma"/>
            <family val="2"/>
          </rPr>
          <t>.</t>
        </r>
      </text>
    </comment>
    <comment ref="K205" authorId="0" shapeId="0">
      <text>
        <r>
          <rPr>
            <sz val="8"/>
            <color indexed="81"/>
            <rFont val="Tahoma"/>
            <family val="2"/>
          </rPr>
          <t>The qualitative probabilities are defined by the following scale:
&lt;0.5%, most unlikely, almost certainly not
&lt;5%, very unlikely
&lt;25%, unlikely, probably not
25-75%, possibly, possibly not
&gt;75%, likely, probably
&gt;95%, very likely
&gt;99.5%, most likely, almost certainly</t>
        </r>
      </text>
    </comment>
    <comment ref="AB205" authorId="0" shapeId="0">
      <text>
        <r>
          <rPr>
            <sz val="8"/>
            <color indexed="81"/>
            <rFont val="Tahoma"/>
            <family val="2"/>
          </rPr>
          <t>The qualitative probabilities are defined by the following scale:
&lt;0.5%, most unlikely, almost certainly not
&lt;5%, very unlikely
&lt;25%, unlikely, probably not
25-75%, possibly, possibly not
&gt;75%, likely, probably
&gt;95%, very likely
&gt;99.5%, most likely, almost certainly</t>
        </r>
      </text>
    </comment>
    <comment ref="C215" authorId="2" shapeId="0">
      <text>
        <r>
          <rPr>
            <sz val="8"/>
            <color indexed="81"/>
            <rFont val="Tahoma"/>
            <family val="2"/>
          </rPr>
          <t>This SD is the degrees-of-freedom-weighted mean of the SDs of the two groups, which is a reasonable SD for standardizing the difference in means of the groups in a controlled trial. (The harmonic mean is better when the groups come from different populations, as done in the spreadsheet</t>
        </r>
        <r>
          <rPr>
            <b/>
            <sz val="8"/>
            <color indexed="81"/>
            <rFont val="Tahoma"/>
            <family val="2"/>
          </rPr>
          <t xml:space="preserve"> Compare 2 or 3 group means</t>
        </r>
        <r>
          <rPr>
            <sz val="8"/>
            <color indexed="81"/>
            <rFont val="Tahoma"/>
            <family val="2"/>
          </rPr>
          <t>.) It is multiplied by the factor 1/(1-3/(4v-1)) to remove the small-sample bias in the estimates of standardized effects, where v is the degrees of freedom.</t>
        </r>
      </text>
    </comment>
    <comment ref="T215" authorId="2" shapeId="0">
      <text>
        <r>
          <rPr>
            <sz val="8"/>
            <color indexed="81"/>
            <rFont val="Tahoma"/>
            <family val="2"/>
          </rPr>
          <t>This SD is the degrees-of-freedom-weighted mean of the SDs of the two groups, which is a reasonable SD for standardizing the difference in means of the groups in a controlled trial. (The harmonic mean is better when the groups come from different populations, as done in the spreadsheet</t>
        </r>
        <r>
          <rPr>
            <b/>
            <sz val="8"/>
            <color indexed="81"/>
            <rFont val="Tahoma"/>
            <family val="2"/>
          </rPr>
          <t xml:space="preserve"> Compare 2 or 3 group means</t>
        </r>
        <r>
          <rPr>
            <sz val="8"/>
            <color indexed="81"/>
            <rFont val="Tahoma"/>
            <family val="2"/>
          </rPr>
          <t>.) It is multiplied by the factor 1/(1-3/(4v-1)) to remove the small-sample bias in the estimates of standardized effects, where v is the degrees of freedom.</t>
        </r>
      </text>
    </comment>
    <comment ref="C216" authorId="0" shapeId="0">
      <text>
        <r>
          <rPr>
            <sz val="8"/>
            <color indexed="81"/>
            <rFont val="Tahoma"/>
            <family val="2"/>
          </rPr>
          <t xml:space="preserve">You would not normally bother to compare the between-subject SDs at baseline or in post-tests. A positive value of the SD here indicates a larger standard deviation in the exptal group; a negative value indicates the opposite. The thresholds for the magnitude of the SD are half those for comparison of differences or changes in means. </t>
        </r>
      </text>
    </comment>
    <comment ref="L216" authorId="2" shapeId="0">
      <text>
        <r>
          <rPr>
            <sz val="9"/>
            <color indexed="81"/>
            <rFont val="Tahoma"/>
            <family val="2"/>
          </rPr>
          <t xml:space="preserve">This SD is a measure of the extent to which the SD of the custom effect in the experimental group is greater than that in the control group, and it represents individual responses (individual differences in the response) to the intervention in the experimental group. A negative value indicates a greater SD in the control group, either because of sampling variation or because the intervention has reduced the between-subject differences in the custom effect through a ceiling or homogenizing effect.
The smallest important and other magnitude thresholds for this (and any other SD) are half those for mean effects, because to properly assess the magnitude of the "effect" represented by an SD, you need to evaluate the difference between the mean + SD and the mean - SD: 2SD, in other words. So the usual standardized thresholds of 0.2, 0.6, 1.2, 2.0 and 4.0 become 0.1, 0.3, 0.6, 1.0 and 2.0 for small, moderate, large, very large and extremely large individual responses.
A full magnitude-based inference is shown in a panel at the bottom of this spreadsheet, but you can see whether the SD is clear here by simply assessing the coverage of its confidence interval. You usually need a  large sample size or large individual responses for the SD to be clear.
See also the comment in the cell </t>
        </r>
        <r>
          <rPr>
            <b/>
            <sz val="9"/>
            <color indexed="81"/>
            <rFont val="Tahoma"/>
            <family val="2"/>
          </rPr>
          <t>Hover cursor for instructions on individual responses</t>
        </r>
        <r>
          <rPr>
            <sz val="9"/>
            <color indexed="81"/>
            <rFont val="Tahoma"/>
            <family val="2"/>
          </rPr>
          <t xml:space="preserve"> at the top left of the spreadsheet.</t>
        </r>
      </text>
    </comment>
    <comment ref="T216" authorId="0" shapeId="0">
      <text>
        <r>
          <rPr>
            <sz val="8"/>
            <color indexed="81"/>
            <rFont val="Tahoma"/>
            <family val="2"/>
          </rPr>
          <t xml:space="preserve">You would not normally bother to compare the between-subject SDs at baseline or in post-tests. A positive value of the SD here indicates a larger standard deviation in the exptal group; a negative value indicates the opposite. The thresholds for the magnitude of the SD are half those for comparison of differences or changes in means. </t>
        </r>
      </text>
    </comment>
    <comment ref="AC216" authorId="2" shapeId="0">
      <text>
        <r>
          <rPr>
            <sz val="9"/>
            <color indexed="81"/>
            <rFont val="Tahoma"/>
            <family val="2"/>
          </rPr>
          <t xml:space="preserve">This SD is a measure of the extent to which the SD of the custom effect in the experimental group is greater than that in the control group, and it represents individual responses (individual differences in the response) to the intervention in the experimental group. A negative value indicates a greater SD in the control group, either because of sampling variation or because the intervention has reduced the between-subject differences in the custom effect through a ceiling or homogenizing effect.
The smallest important and other magnitude thresholds for this (and any other SD) are half those for mean effects, because to properly assess the magnitude of the "effect" represented by an SD, you need to evaluate the difference between the mean + SD and the mean - SD: 2SD, in other words. So the usual standardized thresholds of 0.2, 0.6, 1.2, 2.0 and 4.0 become 0.1, 0.3, 0.6, 1.0 and 2.0 for small, moderate, large, very large and extremely large individual responses.
A full magnitude-based inference is shown in a panel at the bottom of this spreadsheet, but you can see whether the SD is clear here by simply assessing the coverage of its confidence interval. You usually need a  large sample size or large individual responses for the SD to be clear.
See also the comment in the cell </t>
        </r>
        <r>
          <rPr>
            <b/>
            <sz val="9"/>
            <color indexed="81"/>
            <rFont val="Tahoma"/>
            <family val="2"/>
          </rPr>
          <t>Hover cursor for instructions on individual responses</t>
        </r>
        <r>
          <rPr>
            <sz val="9"/>
            <color indexed="81"/>
            <rFont val="Tahoma"/>
            <family val="2"/>
          </rPr>
          <t xml:space="preserve"> at the top left of the spreadsheet.</t>
        </r>
      </text>
    </comment>
    <comment ref="K221" authorId="2" shapeId="0">
      <text>
        <r>
          <rPr>
            <sz val="8"/>
            <color indexed="81"/>
            <rFont val="Tahoma"/>
            <family val="2"/>
          </rPr>
          <t xml:space="preserve">This panel is provided for full probabilistic inferences about the SD representing individual responses shown in the above panels. 
See also the comment in the cell </t>
        </r>
        <r>
          <rPr>
            <b/>
            <sz val="8"/>
            <color indexed="81"/>
            <rFont val="Tahoma"/>
            <family val="2"/>
          </rPr>
          <t>Hover cursor for instructions on individual responses and differences</t>
        </r>
        <r>
          <rPr>
            <sz val="8"/>
            <color indexed="81"/>
            <rFont val="Tahoma"/>
            <family val="2"/>
          </rPr>
          <t xml:space="preserve"> at the top left of the spreadsheet.</t>
        </r>
      </text>
    </comment>
    <comment ref="AB221" authorId="2" shapeId="0">
      <text>
        <r>
          <rPr>
            <sz val="8"/>
            <color indexed="81"/>
            <rFont val="Tahoma"/>
            <family val="2"/>
          </rPr>
          <t xml:space="preserve">This panel is provided for full probabilistic inferences about the SD representing individual responses shown in the above panels. 
See also the comment in the cell </t>
        </r>
        <r>
          <rPr>
            <b/>
            <sz val="8"/>
            <color indexed="81"/>
            <rFont val="Tahoma"/>
            <family val="2"/>
          </rPr>
          <t>Hover cursor for instructions on individual responses and differences</t>
        </r>
        <r>
          <rPr>
            <sz val="8"/>
            <color indexed="81"/>
            <rFont val="Tahoma"/>
            <family val="2"/>
          </rPr>
          <t xml:space="preserve"> at the top left of the spreadsheet.</t>
        </r>
      </text>
    </comment>
    <comment ref="K229" authorId="0" shapeId="0">
      <text>
        <r>
          <rPr>
            <sz val="8"/>
            <color indexed="81"/>
            <rFont val="Tahoma"/>
            <family val="2"/>
          </rPr>
          <t>The qualitative probabilities are defined by the following scale:
&lt;0.5%, almost certainly not
&lt;5%, very unlikely
&lt;25%, unlikely, probably not
25-75%, possibly, possibly not
&gt;75%, likely, probably
&gt;95%, very likely
&gt;99.5
%, almost certainly</t>
        </r>
      </text>
    </comment>
    <comment ref="AB229" authorId="0" shapeId="0">
      <text>
        <r>
          <rPr>
            <sz val="8"/>
            <color indexed="81"/>
            <rFont val="Tahoma"/>
            <family val="2"/>
          </rPr>
          <t>The qualitative probabilities are defined by the following scale:
&lt;0.5%, almost certainly not
&lt;5%, very unlikely
&lt;25%, unlikely, probably not
25-75%, possibly, possibly not
&gt;75%, likely, probably
&gt;95%, very likely
&gt;99.5
%, almost certainly</t>
        </r>
      </text>
    </comment>
    <comment ref="K240" authorId="2" shapeId="0">
      <text>
        <r>
          <rPr>
            <sz val="8"/>
            <color indexed="81"/>
            <rFont val="Tahoma"/>
            <family val="2"/>
          </rPr>
          <t>Here the SD of the effect has been converted to a typical error of measurement by dividing by root 2.  Use this statistic (and its confidence limits) to compare with estimates of typical error from comparable reliability studies.</t>
        </r>
      </text>
    </comment>
    <comment ref="AB240" authorId="2" shapeId="0">
      <text>
        <r>
          <rPr>
            <sz val="8"/>
            <color indexed="81"/>
            <rFont val="Tahoma"/>
            <family val="2"/>
          </rPr>
          <t>Here the SD of the effect has been converted to a typical error of measurement by dividing by root 2.  Use this statistic (and its confidence limits) to compare with estimates of typical error from comparable reliability studies.</t>
        </r>
      </text>
    </comment>
    <comment ref="AC252" authorId="2" shapeId="0">
      <text>
        <r>
          <rPr>
            <sz val="8"/>
            <color indexed="81"/>
            <rFont val="Tahoma"/>
            <family val="2"/>
          </rPr>
          <t>The uncertainty factor here is correct, but it gives a misleading impression that the estimate of the SD is precise.</t>
        </r>
      </text>
    </comment>
    <comment ref="AB265" authorId="2" shapeId="0">
      <text>
        <r>
          <rPr>
            <sz val="8"/>
            <color indexed="81"/>
            <rFont val="Tahoma"/>
            <family val="2"/>
          </rPr>
          <t>This table is used to get parts of  the other tables.  Don't modify it or take values from it directly.</t>
        </r>
      </text>
    </comment>
    <comment ref="AB272" authorId="0" shapeId="0">
      <text>
        <r>
          <rPr>
            <sz val="8"/>
            <color indexed="81"/>
            <rFont val="Tahoma"/>
            <family val="2"/>
          </rPr>
          <t>The value shown is the Cohen threshold.  in transformed units. Don't change it here.</t>
        </r>
      </text>
    </comment>
  </commentList>
</comments>
</file>

<file path=xl/comments2.xml><?xml version="1.0" encoding="utf-8"?>
<comments xmlns="http://schemas.openxmlformats.org/spreadsheetml/2006/main">
  <authors>
    <author>Will Hopkins</author>
    <author>Reviewer</author>
  </authors>
  <commentList>
    <comment ref="E44" authorId="0" shapeId="0">
      <text>
        <r>
          <rPr>
            <sz val="8"/>
            <color indexed="81"/>
            <rFont val="Tahoma"/>
            <family val="2"/>
          </rPr>
          <t>These values are used for the X-axis of the time-series scatterplots of the deltas.</t>
        </r>
      </text>
    </comment>
    <comment ref="R44" authorId="0" shapeId="0">
      <text>
        <r>
          <rPr>
            <sz val="8"/>
            <color indexed="81"/>
            <rFont val="Tahoma"/>
            <family val="2"/>
          </rPr>
          <t>These values are used for the X-axis of the time-series scatterplots of the deltas.</t>
        </r>
      </text>
    </comment>
    <comment ref="E45" authorId="0" shapeId="0">
      <text>
        <r>
          <rPr>
            <sz val="8"/>
            <color indexed="81"/>
            <rFont val="Tahoma"/>
            <family val="2"/>
          </rPr>
          <t>Negative weights are copied here from Sheet1.  The negative weights must add to -1. The deltas shown are the values for each time point minus the weighted mean of the value(s) of the time point(s) with negative weights.  The time point(s) with negative weights are assigned deltas of zero.</t>
        </r>
      </text>
    </comment>
    <comment ref="R45" authorId="0" shapeId="0">
      <text>
        <r>
          <rPr>
            <sz val="8"/>
            <color indexed="81"/>
            <rFont val="Tahoma"/>
            <family val="2"/>
          </rPr>
          <t>Negative weights are copied here from Sheet1.  The negative weights must add to -1. The deltas shown are the values for each time point minus the weighted mean of the value(s) of the time point(s) with negative weights.  The time point(s) with negative weights are assigned deltas of zero.</t>
        </r>
      </text>
    </comment>
    <comment ref="D46" authorId="1" shapeId="0">
      <text>
        <r>
          <rPr>
            <sz val="8"/>
            <color indexed="81"/>
            <rFont val="Tahoma"/>
            <family val="2"/>
          </rPr>
          <t xml:space="preserve">Copy a subject characteristic into this column to determine the modifying effect of the characteristic on the custom effect.  
You can make the predictor a binary variable coded as 0 and 1 to represent, for example, females and males, although it is better to analyze subgroups separately to allow for different errors and different effects of the other covariate, then compare and possibly combine the effects for the two (or more) groups using the combine/compare effects spreadsheet.
Copy the change score of a variable into this column to determine the mediating effect of the variable (a mechanism analysis): the extent to which the variable explains a change in the dependent variable shown by the custom effect.  The change scores for the predictor and dependent must match. The best way to generate the change scores for such a variable is to make it the dependent variable in another spreadsheet like this one.
The modifying or mediating effects are determned via the cells in the panel </t>
        </r>
        <r>
          <rPr>
            <b/>
            <sz val="8"/>
            <color indexed="81"/>
            <rFont val="Tahoma"/>
            <family val="2"/>
          </rPr>
          <t>Adjusting for, and effects of, one or both predictors</t>
        </r>
        <r>
          <rPr>
            <sz val="8"/>
            <color indexed="81"/>
            <rFont val="Tahoma"/>
            <family val="2"/>
          </rPr>
          <t>.  See the comments in those cells.</t>
        </r>
      </text>
    </comment>
    <comment ref="E46" authorId="0" shapeId="0">
      <text>
        <r>
          <rPr>
            <sz val="8"/>
            <color indexed="81"/>
            <rFont val="Tahoma"/>
            <family val="2"/>
          </rPr>
          <t xml:space="preserve">Values shown in this column by default are the values for the pretest(s) chosen to standardize effects.  If you have missing values for pretests contributing to the standardizing, the value for X2 will appear to be blank, but the cell must be fully cleared for the graph of the custom effect vs X2 to display properly (thanks to a bug in Excel).
You may insert values for some other predictor.
Do not delete this column. 
Do not copy-insert this column to make an extra covariate or treatment. </t>
        </r>
      </text>
    </comment>
    <comment ref="F46" authorId="0" shapeId="0">
      <text>
        <r>
          <rPr>
            <sz val="8"/>
            <color indexed="81"/>
            <rFont val="Tahoma"/>
            <family val="2"/>
          </rPr>
          <t>Do not delete this column. 
Do not copy-insert this column to make extra pretests or time points.  Instead, copy-insert the next pretest column.  Assign appropriate labels or time values to the columns.
If you are using log transformation, copy and insert the matching column(s) of log-transformed data.</t>
        </r>
      </text>
    </comment>
    <comment ref="G46" authorId="1" shapeId="0">
      <text>
        <r>
          <rPr>
            <sz val="8"/>
            <color indexed="81"/>
            <rFont val="Tahoma"/>
            <family val="2"/>
          </rPr>
          <t>Insert more pretests or time points by copying and inserting this column.  Assign appropriate labels or time values to the columns.
If you are using log transformation, copy and insert the matching column(s) of log-transformed data.</t>
        </r>
      </text>
    </comment>
    <comment ref="H46" authorId="1" shapeId="0">
      <text>
        <r>
          <rPr>
            <sz val="8"/>
            <color indexed="81"/>
            <rFont val="Tahoma"/>
            <family val="2"/>
          </rPr>
          <t>Insert more pretests or time points by copying and inserting this column.  Assign appropriate labels or time values to the columns.
If you are using log transformation, copy and insert the matching column(s) of log-transformed data.</t>
        </r>
      </text>
    </comment>
    <comment ref="I46" authorId="1" shapeId="0">
      <text>
        <r>
          <rPr>
            <sz val="8"/>
            <color indexed="81"/>
            <rFont val="Tahoma"/>
            <family val="2"/>
          </rPr>
          <t>Insert more pretests or time points by copying and inserting this column.  Assign appropriate labels or time values to the columns.
If you are using log transformation, copy and insert the matching column(s) of log-transformed data.</t>
        </r>
      </text>
    </comment>
    <comment ref="J46" authorId="1" shapeId="0">
      <text>
        <r>
          <rPr>
            <sz val="8"/>
            <color indexed="81"/>
            <rFont val="Tahoma"/>
            <family val="2"/>
          </rPr>
          <t>Insert more pretests or time points by copying and inserting this column.  Assign appropriate labels or time values to the columns.
If you are using log transformation, copy and insert the matching column(s) of log-transformed data.</t>
        </r>
      </text>
    </comment>
    <comment ref="K46" authorId="0" shapeId="0">
      <text>
        <r>
          <rPr>
            <sz val="8"/>
            <color indexed="81"/>
            <rFont val="Tahoma"/>
            <family val="2"/>
          </rPr>
          <t>Do not add data to this column.  Instead, copy and insert an existing data column to the left of this column.  But do not copy and insert the first data column.</t>
        </r>
      </text>
    </comment>
    <comment ref="Q46" authorId="0" shapeId="0">
      <text>
        <r>
          <rPr>
            <sz val="8"/>
            <color indexed="81"/>
            <rFont val="Tahoma"/>
            <family val="2"/>
          </rPr>
          <t>This predictor variable is not currently transformed.</t>
        </r>
      </text>
    </comment>
    <comment ref="R46" authorId="0" shapeId="0">
      <text>
        <r>
          <rPr>
            <sz val="8"/>
            <color indexed="81"/>
            <rFont val="Tahoma"/>
            <family val="2"/>
          </rPr>
          <t xml:space="preserve">Values shown in this column by default are the values for the pretest(s) chosen to standardize effects.  If you have missing values for pretests contributing to the standardizing, the value for X2 will appear to be blank, but the cell must be fully cleared for the graph of the custom effect vs X2 to display properly (thanks to a bug in Excel).
You may insert values for some other predictor.
Do not delete this column. 
Do not copy-insert this column to make an extra covariate or treatment. </t>
        </r>
      </text>
    </comment>
    <comment ref="S46" authorId="0" shapeId="0">
      <text>
        <r>
          <rPr>
            <sz val="8"/>
            <color indexed="81"/>
            <rFont val="Tahoma"/>
            <family val="2"/>
          </rPr>
          <t>Do not delete this column. 
Do not copy-insert this column to make extra pretests or time points  Instead, copy-insert columns on the right.</t>
        </r>
      </text>
    </comment>
    <comment ref="T46" authorId="1"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U46" authorId="1"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V46" authorId="1" shapeId="0">
      <text>
        <r>
          <rPr>
            <sz val="8"/>
            <color indexed="81"/>
            <rFont val="Tahoma"/>
            <family val="2"/>
          </rPr>
          <t xml:space="preserve">If you have inserted extra columns of raw data, and you want analysis of log-transformed values, make sure you insert columns here in the same places and sequence.
</t>
        </r>
      </text>
    </comment>
    <comment ref="W46" authorId="1" shapeId="0">
      <text>
        <r>
          <rPr>
            <sz val="8"/>
            <color indexed="81"/>
            <rFont val="Tahoma"/>
            <family val="2"/>
          </rPr>
          <t xml:space="preserve">If you have inserted extra columns of raw data, and you want analysis of log-transformed values, make sure you insert columns here in the same places and sequence.
</t>
        </r>
      </text>
    </comment>
  </commentList>
</comments>
</file>

<file path=xl/sharedStrings.xml><?xml version="1.0" encoding="utf-8"?>
<sst xmlns="http://schemas.openxmlformats.org/spreadsheetml/2006/main" count="622" uniqueCount="281">
  <si>
    <t>Name</t>
  </si>
  <si>
    <t>Sam</t>
  </si>
  <si>
    <t>mean</t>
  </si>
  <si>
    <t>SD</t>
  </si>
  <si>
    <t>Raw Data</t>
  </si>
  <si>
    <t>Log-transformed Data</t>
  </si>
  <si>
    <t>back-transformed mean</t>
  </si>
  <si>
    <t>SD as a CV (%)</t>
  </si>
  <si>
    <r>
      <t xml:space="preserve">SD as </t>
    </r>
    <r>
      <rPr>
        <sz val="10"/>
        <rFont val="Symbol"/>
        <family val="1"/>
        <charset val="2"/>
      </rPr>
      <t>´¤¸</t>
    </r>
    <r>
      <rPr>
        <sz val="10"/>
        <rFont val="Arial"/>
        <family val="2"/>
      </rPr>
      <t xml:space="preserve"> factor</t>
    </r>
  </si>
  <si>
    <t xml:space="preserve">lower </t>
  </si>
  <si>
    <t xml:space="preserve">upper </t>
  </si>
  <si>
    <t xml:space="preserve"> "±"</t>
  </si>
  <si>
    <t>trivial</t>
  </si>
  <si>
    <t>+ ive</t>
  </si>
  <si>
    <t>- ive</t>
  </si>
  <si>
    <t>Chances (% and qualitative) that the true value of the statistic is clinically, practically or mechanistially…</t>
  </si>
  <si>
    <t>Group</t>
  </si>
  <si>
    <t>Control</t>
  </si>
  <si>
    <t>Exptal</t>
  </si>
  <si>
    <r>
      <t xml:space="preserve"> "</t>
    </r>
    <r>
      <rPr>
        <sz val="11"/>
        <rFont val="Symbol"/>
        <family val="1"/>
        <charset val="2"/>
      </rPr>
      <t>´¤¸</t>
    </r>
    <r>
      <rPr>
        <sz val="10"/>
        <rFont val="Arial"/>
        <family val="2"/>
      </rPr>
      <t xml:space="preserve">" </t>
    </r>
  </si>
  <si>
    <t>transformed SD</t>
  </si>
  <si>
    <t xml:space="preserve">    Double-click on one of the mean or SD cells to check that you have done this operation properly.  Colored boxes should enclose all your data.</t>
  </si>
  <si>
    <t>Chris</t>
  </si>
  <si>
    <t>Courtney</t>
  </si>
  <si>
    <t>Drew</t>
  </si>
  <si>
    <t>Jo</t>
  </si>
  <si>
    <t>Jesse</t>
  </si>
  <si>
    <t>Kelly</t>
  </si>
  <si>
    <t>Kerry</t>
  </si>
  <si>
    <t>Lee</t>
  </si>
  <si>
    <t>Leslie</t>
  </si>
  <si>
    <t>Morgan</t>
  </si>
  <si>
    <t>Robin</t>
  </si>
  <si>
    <t>Alex</t>
  </si>
  <si>
    <t>Kim</t>
  </si>
  <si>
    <t>Pat</t>
  </si>
  <si>
    <t>Dylan</t>
  </si>
  <si>
    <t>n</t>
  </si>
  <si>
    <t>Log units</t>
  </si>
  <si>
    <t>Percent units</t>
  </si>
  <si>
    <t>SD as CV (%)</t>
  </si>
  <si>
    <r>
      <t xml:space="preserve"> "</t>
    </r>
    <r>
      <rPr>
        <sz val="11"/>
        <rFont val="Symbol"/>
        <family val="1"/>
        <charset val="2"/>
      </rPr>
      <t>´¤¸</t>
    </r>
    <r>
      <rPr>
        <sz val="10"/>
        <rFont val="Arial"/>
        <family val="2"/>
      </rPr>
      <t>" approx.</t>
    </r>
  </si>
  <si>
    <t>Factor units</t>
  </si>
  <si>
    <t>SD as factor</t>
  </si>
  <si>
    <t>Raw units</t>
  </si>
  <si>
    <r>
      <t xml:space="preserve">If you have </t>
    </r>
    <r>
      <rPr>
        <b/>
        <sz val="10"/>
        <rFont val="Arial"/>
        <family val="2"/>
      </rPr>
      <t>three or more groups</t>
    </r>
    <r>
      <rPr>
        <sz val="10"/>
        <rFont val="Arial"/>
        <family val="2"/>
      </rPr>
      <t>, use a whole new sheet for each pairwise comparison.</t>
    </r>
  </si>
  <si>
    <t xml:space="preserve"> "±" approx.</t>
  </si>
  <si>
    <t>SE</t>
  </si>
  <si>
    <t xml:space="preserve">    If you include the first row, you will corrupt the background calculations.  You can delete or clear the first row, though. </t>
  </si>
  <si>
    <t>deg. freedom</t>
  </si>
  <si>
    <t>Kylie</t>
  </si>
  <si>
    <t>Lauren</t>
  </si>
  <si>
    <t>Lindsay</t>
  </si>
  <si>
    <t>Reilly</t>
  </si>
  <si>
    <t>Sage</t>
  </si>
  <si>
    <t>Sidney</t>
  </si>
  <si>
    <t>Terry</t>
  </si>
  <si>
    <t>Tristan</t>
  </si>
  <si>
    <t>Vic</t>
  </si>
  <si>
    <t>Wynn</t>
  </si>
  <si>
    <t>Zane</t>
  </si>
  <si>
    <t>Ariel</t>
  </si>
  <si>
    <t>Ashley</t>
  </si>
  <si>
    <t>Bernie</t>
  </si>
  <si>
    <t>Casey</t>
  </si>
  <si>
    <t>Corey</t>
  </si>
  <si>
    <t>Devon</t>
  </si>
  <si>
    <t>Frances</t>
  </si>
  <si>
    <t>Gene</t>
  </si>
  <si>
    <t>Jaimie</t>
  </si>
  <si>
    <t>Jean</t>
  </si>
  <si>
    <t xml:space="preserve">Jody </t>
  </si>
  <si>
    <t>Jordan</t>
  </si>
  <si>
    <r>
      <t xml:space="preserve"> "</t>
    </r>
    <r>
      <rPr>
        <sz val="11"/>
        <color indexed="23"/>
        <rFont val="Symbol"/>
        <family val="1"/>
        <charset val="2"/>
      </rPr>
      <t>´¤¸</t>
    </r>
    <r>
      <rPr>
        <sz val="10"/>
        <color indexed="23"/>
        <rFont val="Arial"/>
        <family val="2"/>
      </rPr>
      <t xml:space="preserve">" </t>
    </r>
  </si>
  <si>
    <t>Wil</t>
  </si>
  <si>
    <t>Grand max</t>
  </si>
  <si>
    <t>Grand min</t>
  </si>
  <si>
    <t>SD or SEE as a CV (%)</t>
  </si>
  <si>
    <r>
      <t xml:space="preserve">SD or SEE as </t>
    </r>
    <r>
      <rPr>
        <sz val="10"/>
        <rFont val="Symbol"/>
        <family val="1"/>
        <charset val="2"/>
      </rPr>
      <t>´¤¸</t>
    </r>
    <r>
      <rPr>
        <sz val="10"/>
        <rFont val="Arial"/>
        <family val="2"/>
      </rPr>
      <t xml:space="preserve"> factor</t>
    </r>
  </si>
  <si>
    <t>degrees of freedom</t>
  </si>
  <si>
    <r>
      <t xml:space="preserve">You may change cells in </t>
    </r>
    <r>
      <rPr>
        <b/>
        <sz val="10"/>
        <color indexed="20"/>
        <rFont val="Arial"/>
        <family val="2"/>
      </rPr>
      <t>plum</t>
    </r>
    <r>
      <rPr>
        <sz val="10"/>
        <rFont val="Arial"/>
        <family val="2"/>
      </rPr>
      <t xml:space="preserve"> to see the effect on whatever, but remember to "control-z" or otherwise undo to restore the formulae in these cells.</t>
    </r>
  </si>
  <si>
    <r>
      <t>Do NOT use cut (Ctrl+X) or drag to replace or move data</t>
    </r>
    <r>
      <rPr>
        <sz val="10"/>
        <rFont val="Arial"/>
        <family val="2"/>
      </rPr>
      <t xml:space="preserve">. Instead, </t>
    </r>
    <r>
      <rPr>
        <b/>
        <sz val="10"/>
        <rFont val="Arial"/>
        <family val="2"/>
      </rPr>
      <t>copy (Ctrl+C), then paste (Ctrl+V)</t>
    </r>
    <r>
      <rPr>
        <sz val="10"/>
        <rFont val="Arial"/>
        <family val="2"/>
      </rPr>
      <t xml:space="preserve"> onto existing data or into blank cells.</t>
    </r>
  </si>
  <si>
    <t>Threshold for clinical chances</t>
  </si>
  <si>
    <t>Difference in means</t>
  </si>
  <si>
    <t>Degrees of freedom</t>
  </si>
  <si>
    <t>Difference in means (%)</t>
  </si>
  <si>
    <t>Raw SD</t>
  </si>
  <si>
    <t>Threshold ratio for</t>
  </si>
  <si>
    <r>
      <t xml:space="preserve">If you have </t>
    </r>
    <r>
      <rPr>
        <b/>
        <sz val="10"/>
        <rFont val="Arial"/>
        <family val="2"/>
      </rPr>
      <t>more observations</t>
    </r>
    <r>
      <rPr>
        <sz val="10"/>
        <rFont val="Arial"/>
        <family val="2"/>
      </rPr>
      <t>, select entire row(s) and right-click COPY and right-click INSERT them anywhere below (but NOT including) the first row of the group.</t>
    </r>
  </si>
  <si>
    <t>Trial:</t>
  </si>
  <si>
    <t>mean:</t>
  </si>
  <si>
    <t>SD+:</t>
  </si>
  <si>
    <t>SD-:</t>
  </si>
  <si>
    <t>Pre1</t>
  </si>
  <si>
    <t>Pre2</t>
  </si>
  <si>
    <t>Post1</t>
  </si>
  <si>
    <t>Post2</t>
  </si>
  <si>
    <t>Raw</t>
  </si>
  <si>
    <t>Percent</t>
  </si>
  <si>
    <t>Factor</t>
  </si>
  <si>
    <t>Standardized</t>
  </si>
  <si>
    <t>substantially &gt;</t>
  </si>
  <si>
    <t>substantially &lt;</t>
  </si>
  <si>
    <t>greater than threshold</t>
  </si>
  <si>
    <t>less than threshold</t>
  </si>
  <si>
    <t>Odds ratio for benefit/harm</t>
  </si>
  <si>
    <t>(for analysis of raw data)</t>
  </si>
  <si>
    <t>(for analysis of log-transformed data)</t>
  </si>
  <si>
    <t>Maximum risk of harm (%)</t>
  </si>
  <si>
    <t>Minimum chance of benefit (%)</t>
  </si>
  <si>
    <t xml:space="preserve"> Threshold for opposite or beneficial</t>
  </si>
  <si>
    <t xml:space="preserve"> effect (provided automatically)</t>
  </si>
  <si>
    <t>Benefit/harm odds ratio</t>
  </si>
  <si>
    <t>Mean pretest SD</t>
  </si>
  <si>
    <t>effect via standardization</t>
  </si>
  <si>
    <t xml:space="preserve"> effect via standardization</t>
  </si>
  <si>
    <t>Threshold for important or harmful</t>
  </si>
  <si>
    <r>
      <t>Hover cursor</t>
    </r>
    <r>
      <rPr>
        <sz val="10"/>
        <rFont val="Arial"/>
        <family val="2"/>
      </rPr>
      <t xml:space="preserve"> for citation:</t>
    </r>
  </si>
  <si>
    <t>The above are provided when you insert a threshold standardized value.</t>
  </si>
  <si>
    <t>or insert your own SD here:</t>
  </si>
  <si>
    <t>with its sample size:</t>
  </si>
  <si>
    <t>Pretest SDs included for standardizing</t>
  </si>
  <si>
    <t>Adjusted SD for standardizing</t>
  </si>
  <si>
    <t>One predictor</t>
  </si>
  <si>
    <t>Both predictors</t>
  </si>
  <si>
    <t>Custom effect:</t>
  </si>
  <si>
    <t>X1</t>
  </si>
  <si>
    <t>X2</t>
  </si>
  <si>
    <t>Adjusting for, and effects of, one or both predictors</t>
  </si>
  <si>
    <t>Adjusted to predictor =</t>
  </si>
  <si>
    <t>Mean predictor</t>
  </si>
  <si>
    <t>SD predictor</t>
  </si>
  <si>
    <t>LINEST for</t>
  </si>
  <si>
    <t>two predictors</t>
  </si>
  <si>
    <t>SE pred</t>
  </si>
  <si>
    <t xml:space="preserve">    When adjusting for both predictors, missing values are not allowed. You must delete the whole row containing the missing value.</t>
  </si>
  <si>
    <t>Value of predictor</t>
  </si>
  <si>
    <t>For plotting predictors</t>
  </si>
  <si>
    <t>For time series:</t>
  </si>
  <si>
    <t>X-axis tweak for time series:</t>
  </si>
  <si>
    <t xml:space="preserve">  a minimum and maximum value, if necessary.</t>
  </si>
  <si>
    <t>You may have to further stretch the whole graph in the vertical</t>
  </si>
  <si>
    <t xml:space="preserve">  direction, add ticks and edit it severely in Powerpoint to make it</t>
  </si>
  <si>
    <t xml:space="preserve">  publishable. Or graph it in Graphpad Prism or SigmaPlot.</t>
  </si>
  <si>
    <t>Right-click the Y axis on the graphs below to set</t>
  </si>
  <si>
    <t>Time:</t>
  </si>
  <si>
    <t xml:space="preserve">   The appropriate log-transform of this X2 is also provided automatically. If you insert your own X2, your values are copied into the log-transformed cells without log transformation.</t>
  </si>
  <si>
    <r>
      <t xml:space="preserve">If you have </t>
    </r>
    <r>
      <rPr>
        <b/>
        <sz val="10"/>
        <rFont val="Arial"/>
        <family val="2"/>
      </rPr>
      <t>less observations</t>
    </r>
    <r>
      <rPr>
        <sz val="10"/>
        <rFont val="Arial"/>
        <family val="2"/>
      </rPr>
      <t xml:space="preserve"> than shown here,</t>
    </r>
    <r>
      <rPr>
        <sz val="10"/>
        <rFont val="Arial"/>
        <family val="2"/>
      </rPr>
      <t xml:space="preserve"> select the entire row(s) and hit the Delete key or right-click and delete the rows(s) entirely.</t>
    </r>
  </si>
  <si>
    <r>
      <rPr>
        <b/>
        <sz val="10"/>
        <rFont val="Arial"/>
        <family val="2"/>
      </rPr>
      <t>Specify an effect</t>
    </r>
    <r>
      <rPr>
        <sz val="10"/>
        <rFont val="Arial"/>
        <family val="2"/>
      </rPr>
      <t xml:space="preserve"> by inserting appropriate weighting factors to the right of "Custom effect:". The example shown makes the effect Post1-Pre2. </t>
    </r>
  </si>
  <si>
    <t>Either use the time-series plot edited in</t>
  </si>
  <si>
    <t xml:space="preserve">   Powerpoint to show values for Trial on the</t>
  </si>
  <si>
    <t xml:space="preserve">   X axis, or use Graphpad Prism, Sigmaplot,</t>
  </si>
  <si>
    <t xml:space="preserve">   or other graphing software.</t>
  </si>
  <si>
    <t>Excel does not permit tweaking of the Trial</t>
  </si>
  <si>
    <t xml:space="preserve">  value on the X axis to produce a slight </t>
  </si>
  <si>
    <t xml:space="preserve">   separation of overlapping points.</t>
  </si>
  <si>
    <t>Chances (% and qualitative) that the true value of the statistic is non-clinically or clinically (practically)…</t>
  </si>
  <si>
    <t>Chances (% and qualitative) that the true ratio is non-clinically…</t>
  </si>
  <si>
    <t>Effect of delta predictor =</t>
  </si>
  <si>
    <r>
      <t xml:space="preserve">ANALYSIS OF A </t>
    </r>
    <r>
      <rPr>
        <b/>
        <sz val="11"/>
        <color rgb="FFFF0000"/>
        <rFont val="Arial"/>
        <family val="2"/>
      </rPr>
      <t>PRE-POST PARALLEL-GROUPS CONTROLLED TRIAL</t>
    </r>
    <r>
      <rPr>
        <b/>
        <sz val="11"/>
        <rFont val="Arial"/>
        <family val="2"/>
      </rPr>
      <t>, WITH ADJUSTMENT FOR ONE OR TWO PREDICTORS</t>
    </r>
  </si>
  <si>
    <t xml:space="preserve">If X2 is the baseline of the dependent, clear any </t>
  </si>
  <si>
    <t xml:space="preserve">  blank values to get the graph to display properly.</t>
  </si>
  <si>
    <t>Both groups combined</t>
  </si>
  <si>
    <t>Difference in custom effects</t>
  </si>
  <si>
    <t>Difference in custom effects (%)</t>
  </si>
  <si>
    <t>SD for standardizing</t>
  </si>
  <si>
    <t>pre-test SD for standardizing</t>
  </si>
  <si>
    <t>Individual responses as SD</t>
  </si>
  <si>
    <t>Diff. in custom effect:</t>
  </si>
  <si>
    <t>Difference in custom effects in raw units</t>
  </si>
  <si>
    <t>Difference in custom effects as percents</t>
  </si>
  <si>
    <t>Difference in custom effects in standardized units</t>
  </si>
  <si>
    <t>Difference in custom effects as factors</t>
  </si>
  <si>
    <t>Difference in custom effects in log units</t>
  </si>
  <si>
    <t>Standardized units</t>
  </si>
  <si>
    <t>SD standardized</t>
  </si>
  <si>
    <t>diff. in raw units</t>
  </si>
  <si>
    <t>diff. in log-transformed units</t>
  </si>
  <si>
    <t>Pretest SDs included</t>
  </si>
  <si>
    <r>
      <t xml:space="preserve">Blocks of cells requiring some input of data are highlighted in bright yellow. </t>
    </r>
    <r>
      <rPr>
        <sz val="10"/>
        <rFont val="Arial"/>
        <family val="2"/>
      </rPr>
      <t>Pale yellow indicates optional modification or input.</t>
    </r>
  </si>
  <si>
    <r>
      <t>This spreadsheet is a major update of a previous version, available at http://newstats.org/xParallelGroupsTrial.xls.</t>
    </r>
    <r>
      <rPr>
        <b/>
        <sz val="10"/>
        <color indexed="60"/>
        <rFont val="Arial"/>
        <family val="2"/>
      </rPr>
      <t xml:space="preserve"> This new version allows one or two predictors.</t>
    </r>
  </si>
  <si>
    <r>
      <t xml:space="preserve">If you have </t>
    </r>
    <r>
      <rPr>
        <b/>
        <sz val="10"/>
        <rFont val="Arial"/>
        <family val="2"/>
      </rPr>
      <t>extra trial(s)</t>
    </r>
    <r>
      <rPr>
        <sz val="10"/>
        <rFont val="Arial"/>
        <family val="2"/>
      </rPr>
      <t xml:space="preserve">, select entire existing trial column(s), then right-click copy and right-click insert. </t>
    </r>
    <r>
      <rPr>
        <b/>
        <sz val="10"/>
        <rFont val="Arial"/>
        <family val="2"/>
      </rPr>
      <t>Do NOT copy-insert the Pre1 column</t>
    </r>
    <r>
      <rPr>
        <sz val="10"/>
        <rFont val="Arial"/>
        <family val="2"/>
      </rPr>
      <t>.</t>
    </r>
  </si>
  <si>
    <r>
      <t xml:space="preserve">Mean or effect of </t>
    </r>
    <r>
      <rPr>
        <sz val="10"/>
        <rFont val="Symbol"/>
        <family val="1"/>
        <charset val="2"/>
      </rPr>
      <t xml:space="preserve">D </t>
    </r>
    <r>
      <rPr>
        <sz val="10"/>
        <rFont val="Arial"/>
        <family val="2"/>
      </rPr>
      <t>predictor</t>
    </r>
  </si>
  <si>
    <t>SD or SEE</t>
  </si>
  <si>
    <r>
      <t xml:space="preserve">Stdzd mean or effect of </t>
    </r>
    <r>
      <rPr>
        <sz val="10"/>
        <rFont val="Symbol"/>
        <family val="1"/>
        <charset val="2"/>
      </rPr>
      <t xml:space="preserve">D </t>
    </r>
    <r>
      <rPr>
        <sz val="10"/>
        <rFont val="Arial"/>
        <family val="2"/>
      </rPr>
      <t>predictor</t>
    </r>
  </si>
  <si>
    <t>Standardized SD or SEE</t>
  </si>
  <si>
    <r>
      <t xml:space="preserve">Mean or effect of </t>
    </r>
    <r>
      <rPr>
        <sz val="10"/>
        <rFont val="Symbol"/>
        <family val="1"/>
        <charset val="2"/>
      </rPr>
      <t xml:space="preserve">D </t>
    </r>
    <r>
      <rPr>
        <sz val="10"/>
        <rFont val="Arial"/>
        <family val="2"/>
      </rPr>
      <t>predictor (%)</t>
    </r>
  </si>
  <si>
    <r>
      <t xml:space="preserve">Mean or effect of </t>
    </r>
    <r>
      <rPr>
        <sz val="10"/>
        <rFont val="Symbol"/>
        <family val="1"/>
        <charset val="2"/>
      </rPr>
      <t>D</t>
    </r>
    <r>
      <rPr>
        <sz val="10"/>
        <rFont val="Arial"/>
        <family val="2"/>
      </rPr>
      <t xml:space="preserve"> predictor as factor</t>
    </r>
  </si>
  <si>
    <t>SD or SEE (logs)</t>
  </si>
  <si>
    <r>
      <t xml:space="preserve">SE of effect or of </t>
    </r>
    <r>
      <rPr>
        <sz val="10"/>
        <color rgb="FF969696"/>
        <rFont val="Symbol"/>
        <family val="1"/>
        <charset val="2"/>
      </rPr>
      <t>D</t>
    </r>
    <r>
      <rPr>
        <sz val="10"/>
        <color rgb="FF969696"/>
        <rFont val="Arial"/>
        <family val="2"/>
      </rPr>
      <t xml:space="preserve"> predictor (logs)</t>
    </r>
  </si>
  <si>
    <r>
      <t xml:space="preserve">SE of effect or of </t>
    </r>
    <r>
      <rPr>
        <sz val="10"/>
        <color rgb="FF969696"/>
        <rFont val="Symbol"/>
        <family val="1"/>
        <charset val="2"/>
      </rPr>
      <t>D</t>
    </r>
    <r>
      <rPr>
        <sz val="10"/>
        <color rgb="FF969696"/>
        <rFont val="Arial"/>
        <family val="2"/>
      </rPr>
      <t xml:space="preserve"> predictor</t>
    </r>
  </si>
  <si>
    <t>Mean delta (%)</t>
  </si>
  <si>
    <t>Mean delta as factor</t>
  </si>
  <si>
    <t>Used to display error messages:</t>
  </si>
  <si>
    <t>-ive weights:</t>
  </si>
  <si>
    <t>FACTOR DELTAS</t>
  </si>
  <si>
    <t>PERCENT DELTAS</t>
  </si>
  <si>
    <t>Log-trans'd Deltas</t>
  </si>
  <si>
    <t>Raw Deltas</t>
  </si>
  <si>
    <t>Time-Series Plots</t>
  </si>
  <si>
    <r>
      <t xml:space="preserve">    and click on the tab </t>
    </r>
    <r>
      <rPr>
        <b/>
        <sz val="10"/>
        <rFont val="Arial"/>
        <family val="2"/>
      </rPr>
      <t>Time-series deltas</t>
    </r>
    <r>
      <rPr>
        <sz val="10"/>
        <rFont val="Arial"/>
        <family val="2"/>
      </rPr>
      <t>, which shows a spreadsheet with plots of change scores for time series.</t>
    </r>
  </si>
  <si>
    <r>
      <rPr>
        <b/>
        <sz val="10"/>
        <rFont val="Arial"/>
        <family val="2"/>
      </rPr>
      <t>If your data are a time series</t>
    </r>
    <r>
      <rPr>
        <sz val="10"/>
        <rFont val="Arial"/>
        <family val="2"/>
      </rPr>
      <t xml:space="preserve"> and you are interested in fitting trends to some or all trials, read the comment in the "For time series:" cell,</t>
    </r>
  </si>
  <si>
    <t xml:space="preserve">   value on the X axis to produce a slight </t>
  </si>
  <si>
    <t xml:space="preserve">   to see graphs of change scores.</t>
  </si>
  <si>
    <r>
      <t xml:space="preserve">If you have </t>
    </r>
    <r>
      <rPr>
        <b/>
        <sz val="10"/>
        <color rgb="FF993300"/>
        <rFont val="Arial"/>
        <family val="2"/>
      </rPr>
      <t>missing values</t>
    </r>
    <r>
      <rPr>
        <sz val="10"/>
        <color rgb="FF993300"/>
        <rFont val="Arial"/>
        <family val="2"/>
      </rPr>
      <t>, make sure any effect cell involving a missing value is cleared.</t>
    </r>
  </si>
  <si>
    <r>
      <t xml:space="preserve">Click on the tab </t>
    </r>
    <r>
      <rPr>
        <b/>
        <sz val="11"/>
        <color rgb="FF993300"/>
        <rFont val="Arial"/>
        <family val="2"/>
      </rPr>
      <t>Time-series deltas</t>
    </r>
  </si>
  <si>
    <r>
      <t xml:space="preserve">    </t>
    </r>
    <r>
      <rPr>
        <b/>
        <sz val="10"/>
        <color indexed="60"/>
        <rFont val="Arial"/>
        <family val="2"/>
      </rPr>
      <t>Hover cursor</t>
    </r>
    <r>
      <rPr>
        <sz val="10"/>
        <color indexed="60"/>
        <rFont val="Arial"/>
        <family val="2"/>
      </rPr>
      <t xml:space="preserve"> for more advice when you have </t>
    </r>
    <r>
      <rPr>
        <b/>
        <sz val="10"/>
        <color indexed="60"/>
        <rFont val="Arial"/>
        <family val="2"/>
      </rPr>
      <t>lots of missing values and repeated measurements</t>
    </r>
    <r>
      <rPr>
        <sz val="10"/>
        <color indexed="60"/>
        <rFont val="Arial"/>
        <family val="2"/>
      </rPr>
      <t>.</t>
    </r>
  </si>
  <si>
    <r>
      <t xml:space="preserve">Mean or effect of </t>
    </r>
    <r>
      <rPr>
        <sz val="10"/>
        <rFont val="Symbol"/>
        <family val="1"/>
        <charset val="2"/>
      </rPr>
      <t xml:space="preserve">D </t>
    </r>
    <r>
      <rPr>
        <sz val="10"/>
        <rFont val="Arial"/>
        <family val="2"/>
      </rPr>
      <t>predictor (logs)</t>
    </r>
  </si>
  <si>
    <t xml:space="preserve">    The positive weights must add up to exactly 1, and any negative weights must add up to exactly -1. An error message appears if they don't.</t>
  </si>
  <si>
    <r>
      <t xml:space="preserve">Replace values of the cells in </t>
    </r>
    <r>
      <rPr>
        <b/>
        <sz val="10"/>
        <color indexed="12"/>
        <rFont val="Arial"/>
        <family val="2"/>
      </rPr>
      <t>blue.</t>
    </r>
    <r>
      <rPr>
        <sz val="10"/>
        <color indexed="12"/>
        <rFont val="Arial"/>
        <family val="2"/>
      </rPr>
      <t xml:space="preserve">  </t>
    </r>
    <r>
      <rPr>
        <sz val="10"/>
        <rFont val="Arial"/>
        <family val="2"/>
      </rPr>
      <t xml:space="preserve">Useful statistics are in </t>
    </r>
    <r>
      <rPr>
        <b/>
        <sz val="10"/>
        <color indexed="10"/>
        <rFont val="Arial"/>
        <family val="2"/>
      </rPr>
      <t>red</t>
    </r>
    <r>
      <rPr>
        <sz val="10"/>
        <rFont val="Arial"/>
        <family val="2"/>
      </rPr>
      <t>. Don't touch these cells, cells with values in black or grey, or cells filled with dark grey.</t>
    </r>
  </si>
  <si>
    <r>
      <t xml:space="preserve">This spreadsheet generates and plots means and SD of change scores using the data in Sheet1. Each change score is the value for the given time point minus the mean of the values of time points with negative weights that add to -1.
Plots of  mean change scores are useful to visualize trends in a time series when you have missing data, because missing data can add "noise" to the plots of the original scores (shown in Sheet1). Use plots of change scores to guide the inferences you want to make in Sheet1, but be aware that adjustment for baseline (X2) and any other covariate (X1) will change the mean change scores.
</t>
    </r>
    <r>
      <rPr>
        <b/>
        <sz val="10"/>
        <rFont val="Arial"/>
        <family val="2"/>
      </rPr>
      <t xml:space="preserve">Make sure you insert columns and insert or delete rows in this sheet in the same sequence as in Sheet1. Do one cycle of insertion for the raw data, log-transformed data, raw deltas and log-transformed deltas.  Then for more trials, do another cycle of insertion.  </t>
    </r>
    <r>
      <rPr>
        <b/>
        <sz val="10"/>
        <color rgb="FFFF0000"/>
        <rFont val="Arial"/>
        <family val="2"/>
      </rPr>
      <t>DO NOT INSERT TWICE IN THE RAW DATA, TWICE IN THE LOG DATA, etc., or you will corrupt the links.</t>
    </r>
    <r>
      <rPr>
        <b/>
        <sz val="10"/>
        <rFont val="Arial"/>
        <family val="2"/>
      </rPr>
      <t xml:space="preserve">
</t>
    </r>
    <r>
      <rPr>
        <sz val="10"/>
        <rFont val="Arial"/>
        <family val="2"/>
      </rPr>
      <t xml:space="preserve">
If you have missing data (blank cells) in Sheet1, you will see instructions in this sheet to clear cells in the corresponding rows here and/or in Sheet1.</t>
    </r>
  </si>
  <si>
    <t>with its sample size</t>
  </si>
  <si>
    <t>and its matching mean:</t>
  </si>
  <si>
    <t>Pretest SD(s) or own SD as a CV (%)</t>
  </si>
  <si>
    <r>
      <t xml:space="preserve">Pretest or own SD as a </t>
    </r>
    <r>
      <rPr>
        <sz val="10"/>
        <rFont val="Symbol"/>
        <family val="1"/>
        <charset val="2"/>
      </rPr>
      <t>´/¸</t>
    </r>
    <r>
      <rPr>
        <sz val="10"/>
        <rFont val="Arial"/>
        <family val="2"/>
      </rPr>
      <t xml:space="preserve"> factor</t>
    </r>
  </si>
  <si>
    <t>or insert your own SD here (log-transformed)</t>
  </si>
  <si>
    <t>Post3</t>
  </si>
  <si>
    <t xml:space="preserve">    You can average treatments; e.g., Post1 - (Pre1+Pre2)/2 is obtained with -0.5  -0.5  1  0  0.</t>
  </si>
  <si>
    <t>Choose (pre)test SD(s) or insert your own SD for standardizing</t>
  </si>
  <si>
    <t>(Pre)tests chosen automatically:</t>
  </si>
  <si>
    <t>or you choose (pre)test(s) for standardizing:</t>
  </si>
  <si>
    <t>Baseline or reference</t>
  </si>
  <si>
    <r>
      <t xml:space="preserve">    Missing </t>
    </r>
    <r>
      <rPr>
        <b/>
        <i/>
        <sz val="10"/>
        <color rgb="FF993300"/>
        <rFont val="Arial"/>
        <family val="2"/>
      </rPr>
      <t>predictor</t>
    </r>
    <r>
      <rPr>
        <sz val="10"/>
        <color rgb="FF993300"/>
        <rFont val="Arial"/>
        <family val="2"/>
      </rPr>
      <t xml:space="preserve"> values must be blank or the graphs are corrupted.</t>
    </r>
  </si>
  <si>
    <r>
      <t>If you have</t>
    </r>
    <r>
      <rPr>
        <b/>
        <sz val="10"/>
        <rFont val="Arial"/>
        <family val="2"/>
      </rPr>
      <t xml:space="preserve"> less than five trials,</t>
    </r>
    <r>
      <rPr>
        <sz val="10"/>
        <rFont val="Arial"/>
        <family val="2"/>
      </rPr>
      <t xml:space="preserve"> make the superfluous trial(s) identical to other trial(s), because deletion of columns makes comment boxes too narrow.</t>
    </r>
  </si>
  <si>
    <r>
      <t xml:space="preserve">    </t>
    </r>
    <r>
      <rPr>
        <b/>
        <sz val="10"/>
        <rFont val="Arial"/>
        <family val="2"/>
      </rPr>
      <t>To insert &gt;four extra trials</t>
    </r>
    <r>
      <rPr>
        <sz val="10"/>
        <rFont val="Arial"/>
        <family val="2"/>
      </rPr>
      <t>, first copy-insert four,  first in the raw data, then in the log data, then in the time-series raw and log data. Repeat this process for more trials.</t>
    </r>
  </si>
  <si>
    <r>
      <t xml:space="preserve">    </t>
    </r>
    <r>
      <rPr>
        <b/>
        <sz val="10"/>
        <rFont val="Arial"/>
        <family val="2"/>
      </rPr>
      <t>Copy and insert new columns in the same relative place</t>
    </r>
    <r>
      <rPr>
        <sz val="10"/>
        <rFont val="Arial"/>
        <family val="2"/>
      </rPr>
      <t xml:space="preserve"> in the log-transformed data, </t>
    </r>
    <r>
      <rPr>
        <b/>
        <sz val="10"/>
        <rFont val="Arial"/>
        <family val="2"/>
      </rPr>
      <t>even if you are not using logs</t>
    </r>
    <r>
      <rPr>
        <sz val="10"/>
        <rFont val="Arial"/>
        <family val="2"/>
      </rPr>
      <t xml:space="preserve">. </t>
    </r>
    <r>
      <rPr>
        <b/>
        <sz val="10"/>
        <rFont val="Arial"/>
        <family val="2"/>
      </rPr>
      <t>Repeat for the time-series deltas.</t>
    </r>
  </si>
  <si>
    <t xml:space="preserve">   The predictors (X1, X2) can be any subject characteristic (or change score, for a mechanisms analysis). X2 is already calculated as the "baseline" from the negative weights of the custom effect.</t>
  </si>
  <si>
    <t>`</t>
  </si>
  <si>
    <r>
      <t xml:space="preserve">Use this spreadsheet also when the data consist of </t>
    </r>
    <r>
      <rPr>
        <b/>
        <sz val="11"/>
        <rFont val="Arial"/>
        <family val="2"/>
      </rPr>
      <t>two time series</t>
    </r>
    <r>
      <rPr>
        <sz val="11"/>
        <rFont val="Arial"/>
        <family val="2"/>
      </rPr>
      <t xml:space="preserve"> of repeated measurements.</t>
    </r>
  </si>
  <si>
    <r>
      <t xml:space="preserve">Data (generated with </t>
    </r>
    <r>
      <rPr>
        <b/>
        <sz val="10"/>
        <rFont val="Arial"/>
        <family val="2"/>
      </rPr>
      <t>Understanding Stats via Simulations</t>
    </r>
    <r>
      <rPr>
        <sz val="10"/>
        <rFont val="Arial"/>
        <family val="2"/>
      </rPr>
      <t>) are for a training study in which the improvement in peak power in an incremental test depended on the initial weekly training (X1) of the cyclists.</t>
    </r>
  </si>
  <si>
    <t>Stdized difference in custom effects</t>
  </si>
  <si>
    <t>Stdized difference in group means</t>
  </si>
  <si>
    <t>Standardized difference in group means</t>
  </si>
  <si>
    <t>Diff. in custom effects as a factor</t>
  </si>
  <si>
    <t>If using standardization, do not insert these values back into the panel on the left.</t>
  </si>
  <si>
    <t xml:space="preserve">  to set a minimum value, if necessary.</t>
  </si>
  <si>
    <t>Right-click the predictor axis on these graphs</t>
  </si>
  <si>
    <t>Difference in group means in raw units (read the comment)</t>
  </si>
  <si>
    <t>Difference in group means in stdized units (read the comment)</t>
  </si>
  <si>
    <t>Individual differences as a CV (%)</t>
  </si>
  <si>
    <t>Individual differences as a factor SD</t>
  </si>
  <si>
    <t>Individual differences as a stdized SD</t>
  </si>
  <si>
    <t>Hover cursor for comment on individual responses and differences.</t>
  </si>
  <si>
    <r>
      <rPr>
        <b/>
        <sz val="10"/>
        <color rgb="FF993300"/>
        <rFont val="Arial"/>
        <family val="2"/>
      </rPr>
      <t>Make sure the spreadsheet chooses the tests you want for standardizing effects</t>
    </r>
    <r>
      <rPr>
        <b/>
        <sz val="10"/>
        <rFont val="Arial"/>
        <family val="2"/>
      </rPr>
      <t>.</t>
    </r>
    <r>
      <rPr>
        <sz val="10"/>
        <rFont val="Arial"/>
        <family val="2"/>
      </rPr>
      <t xml:space="preserve"> See the cells </t>
    </r>
    <r>
      <rPr>
        <b/>
        <sz val="10"/>
        <rFont val="Arial"/>
        <family val="2"/>
      </rPr>
      <t>Choose (pre)test SD(s) or insert your own SD for standardizing</t>
    </r>
    <r>
      <rPr>
        <sz val="10"/>
        <rFont val="Arial"/>
        <family val="2"/>
      </rPr>
      <t>.</t>
    </r>
  </si>
  <si>
    <t>Difference in group means in percent units (read the comment)</t>
  </si>
  <si>
    <t>Difference in group means as factors (read the comment)</t>
  </si>
  <si>
    <t>Difference in group means in standardized units</t>
  </si>
  <si>
    <r>
      <t xml:space="preserve">Hover cursor </t>
    </r>
    <r>
      <rPr>
        <sz val="10"/>
        <rFont val="Arial"/>
        <family val="2"/>
      </rPr>
      <t xml:space="preserve">for important advice on </t>
    </r>
    <r>
      <rPr>
        <b/>
        <sz val="10"/>
        <color rgb="FF993300"/>
        <rFont val="Arial"/>
        <family val="2"/>
      </rPr>
      <t>lots of repeated measurements and missing values</t>
    </r>
    <r>
      <rPr>
        <sz val="10"/>
        <rFont val="Arial"/>
        <family val="2"/>
      </rPr>
      <t>.</t>
    </r>
  </si>
  <si>
    <t>Individual responses as stdized SD</t>
  </si>
  <si>
    <t>Individual responses as an SD factor</t>
  </si>
  <si>
    <t>Ratio of SDs</t>
  </si>
  <si>
    <r>
      <t xml:space="preserve"> "</t>
    </r>
    <r>
      <rPr>
        <sz val="10"/>
        <rFont val="Symbol"/>
        <family val="1"/>
        <charset val="2"/>
      </rPr>
      <t>´¤¸</t>
    </r>
    <r>
      <rPr>
        <sz val="10"/>
        <rFont val="Arial"/>
        <family val="2"/>
      </rPr>
      <t xml:space="preserve">" </t>
    </r>
  </si>
  <si>
    <t>Individual responses as a CV (%)</t>
  </si>
  <si>
    <t>Individual responses as an SD</t>
  </si>
  <si>
    <t>Individual differences as an SD</t>
  </si>
  <si>
    <t>Unadjusted SD for indiv.differences and responses</t>
  </si>
  <si>
    <t>For factor plots</t>
  </si>
  <si>
    <t>This version has factor effects and log scales</t>
  </si>
  <si>
    <t>This version has factor effects and a log scale</t>
  </si>
  <si>
    <t>on both axes. Use/modify for effects &gt;~50%.</t>
  </si>
  <si>
    <t>on the Y axis. Use/modify for effects &gt;~50%.</t>
  </si>
  <si>
    <t>Right-click the predictor axis on these graphs to set a minimum value, if necessary.</t>
  </si>
  <si>
    <t>For publcation, you may wish to back-transform to exact percents.</t>
  </si>
  <si>
    <t>Note that all the left-hand graphs display log values, which are approximate percents.</t>
  </si>
  <si>
    <t>Note that all the left-hand graphs display log values, which are approximate percents. For publcation, you may wish to back-transform to exact percents.</t>
  </si>
  <si>
    <t>Custom effect back-transformed to factor for factor plots</t>
  </si>
  <si>
    <t>Compatibility level (%)</t>
  </si>
  <si>
    <t>Compatibility limits</t>
  </si>
  <si>
    <t>Compatibility
limits (approx.)</t>
  </si>
  <si>
    <t>Compatibility
limits</t>
  </si>
  <si>
    <t>Number of independent decisions</t>
  </si>
  <si>
    <t>Thresholds for decisions</t>
  </si>
  <si>
    <t>Ratio of group SDs (for decisions about individual responses)</t>
  </si>
  <si>
    <t>DF</t>
  </si>
  <si>
    <t>Stdzd SE</t>
  </si>
  <si>
    <t>DF of Stdzd SE</t>
  </si>
  <si>
    <t>Difference in means as a factor</t>
  </si>
  <si>
    <t>Threshold chances for non-clinical decisions (%)</t>
  </si>
  <si>
    <t xml:space="preserve"> Hover for updates: 2020</t>
  </si>
  <si>
    <t>(for either analysis)</t>
  </si>
  <si>
    <r>
      <t xml:space="preserve">Insert threshold for smallest important or </t>
    </r>
    <r>
      <rPr>
        <b/>
        <sz val="10"/>
        <color rgb="FFC00000"/>
        <rFont val="Arial"/>
        <family val="2"/>
      </rPr>
      <t>harmful</t>
    </r>
    <r>
      <rPr>
        <sz val="10"/>
        <rFont val="Arial"/>
        <family val="2"/>
      </rPr>
      <t xml:space="preserve"> effect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</si>
</sst>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86" x14ac:knownFonts="1">
    <font>
      <sz val="10"/>
      <name val="Arial"/>
    </font>
    <font>
      <sz val="10"/>
      <name val="Arial"/>
      <family val="2"/>
    </font>
    <font>
      <b/>
      <sz val="10"/>
      <name val="Arial"/>
      <family val="2"/>
    </font>
    <font>
      <sz val="10"/>
      <name val="Arial"/>
      <family val="2"/>
    </font>
    <font>
      <sz val="10"/>
      <name val="Symbol"/>
      <family val="1"/>
      <charset val="2"/>
    </font>
    <font>
      <b/>
      <sz val="10"/>
      <color indexed="12"/>
      <name val="Arial"/>
      <family val="2"/>
    </font>
    <font>
      <sz val="8"/>
      <color indexed="81"/>
      <name val="Tahoma"/>
      <family val="2"/>
    </font>
    <font>
      <b/>
      <sz val="8"/>
      <color indexed="81"/>
      <name val="Tahoma"/>
      <family val="2"/>
    </font>
    <font>
      <sz val="9"/>
      <name val="Arial"/>
      <family val="2"/>
    </font>
    <font>
      <sz val="8"/>
      <name val="Arial"/>
      <family val="2"/>
    </font>
    <font>
      <b/>
      <sz val="9"/>
      <color indexed="14"/>
      <name val="Arial"/>
      <family val="2"/>
    </font>
    <font>
      <b/>
      <sz val="10"/>
      <color indexed="10"/>
      <name val="Arial"/>
      <family val="2"/>
    </font>
    <font>
      <sz val="10"/>
      <color indexed="10"/>
      <name val="Arial"/>
      <family val="2"/>
    </font>
    <font>
      <sz val="10"/>
      <color indexed="12"/>
      <name val="Arial"/>
      <family val="2"/>
    </font>
    <font>
      <sz val="11"/>
      <name val="Arial"/>
      <family val="2"/>
    </font>
    <font>
      <sz val="11"/>
      <name val="Symbol"/>
      <family val="1"/>
      <charset val="2"/>
    </font>
    <font>
      <b/>
      <sz val="11"/>
      <name val="Arial"/>
      <family val="2"/>
    </font>
    <font>
      <sz val="9"/>
      <color indexed="14"/>
      <name val="Arial"/>
      <family val="2"/>
    </font>
    <font>
      <sz val="9"/>
      <color indexed="57"/>
      <name val="Arial"/>
      <family val="2"/>
    </font>
    <font>
      <b/>
      <sz val="14"/>
      <color indexed="12"/>
      <name val="Arial"/>
      <family val="2"/>
    </font>
    <font>
      <b/>
      <sz val="10"/>
      <color indexed="20"/>
      <name val="Arial"/>
      <family val="2"/>
    </font>
    <font>
      <sz val="10"/>
      <color indexed="23"/>
      <name val="Arial"/>
      <family val="2"/>
    </font>
    <font>
      <sz val="10"/>
      <color indexed="23"/>
      <name val="Arial"/>
      <family val="2"/>
    </font>
    <font>
      <b/>
      <sz val="11"/>
      <name val="Arial Narrow"/>
      <family val="2"/>
    </font>
    <font>
      <b/>
      <sz val="12"/>
      <name val="Arial Narrow"/>
      <family val="2"/>
    </font>
    <font>
      <sz val="11"/>
      <name val="Arial Narrow"/>
      <family val="2"/>
    </font>
    <font>
      <sz val="10"/>
      <name val="Arial Narrow"/>
      <family val="2"/>
    </font>
    <font>
      <b/>
      <sz val="10"/>
      <name val="Arial Narrow"/>
      <family val="2"/>
    </font>
    <font>
      <b/>
      <sz val="10"/>
      <color indexed="12"/>
      <name val="Arial Narrow"/>
      <family val="2"/>
    </font>
    <font>
      <sz val="9"/>
      <name val="Arial Narrow"/>
      <family val="2"/>
    </font>
    <font>
      <b/>
      <sz val="10"/>
      <color indexed="23"/>
      <name val="Arial"/>
      <family val="2"/>
    </font>
    <font>
      <sz val="9"/>
      <color indexed="23"/>
      <name val="Arial"/>
      <family val="2"/>
    </font>
    <font>
      <sz val="11"/>
      <color indexed="23"/>
      <name val="Symbol"/>
      <family val="1"/>
      <charset val="2"/>
    </font>
    <font>
      <b/>
      <sz val="12"/>
      <color indexed="12"/>
      <name val="Arial"/>
      <family val="2"/>
    </font>
    <font>
      <sz val="10"/>
      <color indexed="8"/>
      <name val="Arial"/>
      <family val="2"/>
    </font>
    <font>
      <sz val="9"/>
      <color indexed="8"/>
      <name val="Arial"/>
      <family val="2"/>
    </font>
    <font>
      <b/>
      <sz val="11"/>
      <color indexed="12"/>
      <name val="Arial"/>
      <family val="2"/>
    </font>
    <font>
      <b/>
      <sz val="11"/>
      <color indexed="20"/>
      <name val="Arial"/>
      <family val="2"/>
    </font>
    <font>
      <sz val="9"/>
      <name val="Arial"/>
      <family val="2"/>
    </font>
    <font>
      <sz val="10"/>
      <color indexed="55"/>
      <name val="Arial"/>
      <family val="2"/>
    </font>
    <font>
      <b/>
      <sz val="9"/>
      <color indexed="61"/>
      <name val="Arial"/>
      <family val="2"/>
    </font>
    <font>
      <sz val="9"/>
      <color indexed="81"/>
      <name val="Tahoma"/>
      <family val="2"/>
    </font>
    <font>
      <sz val="10"/>
      <name val="Arial"/>
      <family val="2"/>
    </font>
    <font>
      <sz val="11"/>
      <color indexed="10"/>
      <name val="Arial"/>
      <family val="2"/>
    </font>
    <font>
      <b/>
      <sz val="10"/>
      <color indexed="60"/>
      <name val="Arial"/>
      <family val="2"/>
    </font>
    <font>
      <sz val="10"/>
      <color indexed="60"/>
      <name val="Arial"/>
      <family val="2"/>
    </font>
    <font>
      <sz val="10"/>
      <color rgb="FF0000FF"/>
      <name val="Arial"/>
      <family val="2"/>
    </font>
    <font>
      <sz val="10"/>
      <color rgb="FFCC0099"/>
      <name val="Arial"/>
      <family val="2"/>
    </font>
    <font>
      <b/>
      <sz val="10"/>
      <color rgb="FF0000FF"/>
      <name val="Arial"/>
      <family val="2"/>
    </font>
    <font>
      <b/>
      <sz val="11"/>
      <color rgb="FFCC0099"/>
      <name val="Arial"/>
      <family val="2"/>
    </font>
    <font>
      <sz val="10"/>
      <color rgb="FFFF0000"/>
      <name val="Arial Narrow"/>
      <family val="2"/>
    </font>
    <font>
      <b/>
      <sz val="10"/>
      <color rgb="FFCC0099"/>
      <name val="Arial"/>
      <family val="2"/>
    </font>
    <font>
      <b/>
      <sz val="11"/>
      <color rgb="FFFF0000"/>
      <name val="Arial"/>
      <family val="2"/>
    </font>
    <font>
      <sz val="10"/>
      <color rgb="FFFF0000"/>
      <name val="Arial"/>
      <family val="2"/>
    </font>
    <font>
      <sz val="10"/>
      <color theme="0" tint="-0.499984740745262"/>
      <name val="Arial"/>
      <family val="2"/>
    </font>
    <font>
      <b/>
      <sz val="10"/>
      <color theme="0" tint="-0.499984740745262"/>
      <name val="Arial"/>
      <family val="2"/>
    </font>
    <font>
      <b/>
      <sz val="11"/>
      <color theme="0" tint="-0.499984740745262"/>
      <name val="Arial Narrow"/>
      <family val="2"/>
    </font>
    <font>
      <sz val="9"/>
      <color theme="0" tint="-0.499984740745262"/>
      <name val="Arial Narrow"/>
      <family val="2"/>
    </font>
    <font>
      <sz val="9"/>
      <color theme="0" tint="-0.499984740745262"/>
      <name val="Arial"/>
      <family val="2"/>
    </font>
    <font>
      <sz val="8"/>
      <color theme="0" tint="-0.499984740745262"/>
      <name val="Arial"/>
      <family val="2"/>
    </font>
    <font>
      <b/>
      <sz val="9"/>
      <color theme="0" tint="-0.499984740745262"/>
      <name val="Arial"/>
      <family val="2"/>
    </font>
    <font>
      <sz val="7"/>
      <color theme="0" tint="-0.499984740745262"/>
      <name val="Arial"/>
      <family val="2"/>
    </font>
    <font>
      <b/>
      <sz val="16"/>
      <name val="Arial Narrow"/>
      <family val="2"/>
    </font>
    <font>
      <b/>
      <sz val="14"/>
      <name val="Arial Narrow"/>
      <family val="2"/>
    </font>
    <font>
      <b/>
      <sz val="9"/>
      <color indexed="81"/>
      <name val="Tahoma"/>
      <family val="2"/>
    </font>
    <font>
      <i/>
      <sz val="8"/>
      <color indexed="81"/>
      <name val="Tahoma"/>
      <family val="2"/>
    </font>
    <font>
      <sz val="10"/>
      <color rgb="FF969696"/>
      <name val="Arial"/>
      <family val="2"/>
    </font>
    <font>
      <sz val="10"/>
      <color rgb="FF969696"/>
      <name val="Symbol"/>
      <family val="1"/>
      <charset val="2"/>
    </font>
    <font>
      <sz val="11"/>
      <color rgb="FFFF0000"/>
      <name val="Arial Narrow"/>
      <family val="2"/>
    </font>
    <font>
      <sz val="10"/>
      <color rgb="FF993300"/>
      <name val="Arial"/>
      <family val="2"/>
    </font>
    <font>
      <b/>
      <sz val="10"/>
      <color rgb="FF993300"/>
      <name val="Arial"/>
      <family val="2"/>
    </font>
    <font>
      <sz val="11"/>
      <color rgb="FF993300"/>
      <name val="Arial"/>
      <family val="2"/>
    </font>
    <font>
      <b/>
      <sz val="11"/>
      <color rgb="FF993300"/>
      <name val="Arial"/>
      <family val="2"/>
    </font>
    <font>
      <b/>
      <sz val="10"/>
      <color rgb="FFFF0000"/>
      <name val="Arial"/>
      <family val="2"/>
    </font>
    <font>
      <sz val="12"/>
      <name val="Arial"/>
      <family val="2"/>
    </font>
    <font>
      <b/>
      <sz val="10"/>
      <color rgb="FFFF0000"/>
      <name val="Arial Narrow"/>
      <family val="2"/>
    </font>
    <font>
      <sz val="10"/>
      <color indexed="20"/>
      <name val="Arial"/>
      <family val="2"/>
    </font>
    <font>
      <b/>
      <i/>
      <sz val="10"/>
      <color rgb="FF993300"/>
      <name val="Arial"/>
      <family val="2"/>
    </font>
    <font>
      <sz val="10"/>
      <color theme="1"/>
      <name val="Arial"/>
      <family val="2"/>
    </font>
    <font>
      <b/>
      <sz val="10"/>
      <color theme="0" tint="-0.499984740745262"/>
      <name val="Arial Narrow"/>
      <family val="2"/>
    </font>
    <font>
      <sz val="9"/>
      <color indexed="10"/>
      <name val="Arial"/>
      <family val="2"/>
    </font>
    <font>
      <sz val="9"/>
      <color indexed="63"/>
      <name val="Arial"/>
      <family val="2"/>
    </font>
    <font>
      <sz val="9"/>
      <color indexed="55"/>
      <name val="Arial"/>
      <family val="2"/>
    </font>
    <font>
      <b/>
      <i/>
      <sz val="8"/>
      <color indexed="81"/>
      <name val="Tahoma"/>
      <family val="2"/>
    </font>
    <font>
      <i/>
      <sz val="9"/>
      <color indexed="81"/>
      <name val="Tahoma"/>
      <family val="2"/>
    </font>
    <font>
      <b/>
      <sz val="10"/>
      <color rgb="FFC00000"/>
      <name val="Arial"/>
      <family val="2"/>
    </font>
  </fonts>
  <fills count="12">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CCFF"/>
        <bgColor indexed="64"/>
      </patternFill>
    </fill>
    <fill>
      <patternFill patternType="solid">
        <fgColor rgb="FF3399FF"/>
        <bgColor indexed="64"/>
      </patternFill>
    </fill>
    <fill>
      <patternFill patternType="solid">
        <fgColor rgb="FFFF9999"/>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rgb="FFFF505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3" fillId="0" borderId="0"/>
  </cellStyleXfs>
  <cellXfs count="668">
    <xf numFmtId="0" fontId="0" fillId="0" borderId="0" xfId="0"/>
    <xf numFmtId="0" fontId="0" fillId="0" borderId="0" xfId="0" applyFill="1"/>
    <xf numFmtId="0" fontId="0" fillId="0" borderId="0" xfId="0" applyBorder="1"/>
    <xf numFmtId="0" fontId="8" fillId="2" borderId="0" xfId="0" applyFont="1" applyFill="1" applyBorder="1" applyAlignment="1">
      <alignment horizontal="right"/>
    </xf>
    <xf numFmtId="0" fontId="8" fillId="2" borderId="6" xfId="0" applyFont="1" applyFill="1" applyBorder="1"/>
    <xf numFmtId="164" fontId="8" fillId="2" borderId="4" xfId="0" applyNumberFormat="1" applyFont="1" applyFill="1" applyBorder="1" applyAlignment="1">
      <alignment horizontal="center"/>
    </xf>
    <xf numFmtId="0" fontId="3" fillId="0" borderId="0" xfId="0" applyFont="1"/>
    <xf numFmtId="0" fontId="3" fillId="0" borderId="0" xfId="0" applyFont="1" applyBorder="1"/>
    <xf numFmtId="0" fontId="1" fillId="0" borderId="0" xfId="0" applyFont="1"/>
    <xf numFmtId="0" fontId="26" fillId="0" borderId="0" xfId="0" applyFont="1"/>
    <xf numFmtId="0" fontId="13" fillId="0" borderId="0" xfId="0" applyFont="1" applyAlignment="1">
      <alignment horizontal="right"/>
    </xf>
    <xf numFmtId="1" fontId="33" fillId="0" borderId="4" xfId="0" applyNumberFormat="1" applyFont="1" applyFill="1" applyBorder="1" applyAlignment="1">
      <alignment horizontal="center"/>
    </xf>
    <xf numFmtId="0" fontId="0" fillId="0" borderId="0" xfId="0" applyFill="1" applyBorder="1"/>
    <xf numFmtId="0" fontId="42" fillId="0" borderId="0" xfId="0" applyFont="1"/>
    <xf numFmtId="0" fontId="26" fillId="0" borderId="0" xfId="0" applyFont="1" applyBorder="1"/>
    <xf numFmtId="2" fontId="3" fillId="3" borderId="0" xfId="0" applyNumberFormat="1" applyFont="1" applyFill="1" applyAlignment="1">
      <alignment horizontal="left"/>
    </xf>
    <xf numFmtId="2" fontId="0" fillId="3" borderId="0" xfId="0" applyNumberFormat="1" applyFill="1" applyAlignment="1">
      <alignment horizontal="right"/>
    </xf>
    <xf numFmtId="0" fontId="3" fillId="3" borderId="0" xfId="0" applyFont="1" applyFill="1" applyAlignment="1">
      <alignment horizontal="right"/>
    </xf>
    <xf numFmtId="0" fontId="0" fillId="3" borderId="0" xfId="0" applyFill="1"/>
    <xf numFmtId="0" fontId="2" fillId="3" borderId="0" xfId="0" applyFont="1" applyFill="1" applyAlignment="1">
      <alignment horizontal="right"/>
    </xf>
    <xf numFmtId="0" fontId="25" fillId="3" borderId="0" xfId="0" applyFont="1" applyFill="1"/>
    <xf numFmtId="0" fontId="8" fillId="3" borderId="0" xfId="0" applyFont="1" applyFill="1"/>
    <xf numFmtId="1" fontId="19" fillId="3" borderId="0" xfId="0" applyNumberFormat="1" applyFont="1" applyFill="1" applyAlignment="1">
      <alignment horizontal="right"/>
    </xf>
    <xf numFmtId="0" fontId="5" fillId="3" borderId="0" xfId="0" applyFont="1" applyFill="1" applyAlignment="1">
      <alignment horizontal="left"/>
    </xf>
    <xf numFmtId="0" fontId="0" fillId="3" borderId="0" xfId="0" applyFill="1" applyAlignment="1">
      <alignment horizontal="right"/>
    </xf>
    <xf numFmtId="2" fontId="5" fillId="0" borderId="4" xfId="0" applyNumberFormat="1" applyFont="1" applyFill="1" applyBorder="1" applyAlignment="1">
      <alignment horizontal="center"/>
    </xf>
    <xf numFmtId="2" fontId="12" fillId="3" borderId="4" xfId="0" applyNumberFormat="1" applyFont="1" applyFill="1" applyBorder="1" applyAlignment="1">
      <alignment horizontal="center"/>
    </xf>
    <xf numFmtId="0" fontId="0" fillId="3" borderId="4" xfId="0" applyFill="1" applyBorder="1" applyAlignment="1">
      <alignment horizontal="center"/>
    </xf>
    <xf numFmtId="0" fontId="5" fillId="0" borderId="4" xfId="0" applyFont="1" applyFill="1" applyBorder="1" applyAlignment="1">
      <alignment horizontal="center"/>
    </xf>
    <xf numFmtId="0" fontId="4" fillId="3" borderId="0" xfId="0" applyFont="1" applyFill="1"/>
    <xf numFmtId="0" fontId="3" fillId="3" borderId="0" xfId="0" applyFont="1" applyFill="1" applyAlignment="1">
      <alignment horizontal="left"/>
    </xf>
    <xf numFmtId="0" fontId="3" fillId="3" borderId="0" xfId="0" applyFont="1" applyFill="1"/>
    <xf numFmtId="0" fontId="38" fillId="3" borderId="0" xfId="0" applyFont="1" applyFill="1"/>
    <xf numFmtId="0" fontId="0" fillId="3" borderId="0" xfId="0" applyFont="1" applyFill="1" applyBorder="1" applyAlignment="1">
      <alignment horizontal="left"/>
    </xf>
    <xf numFmtId="0" fontId="0" fillId="3" borderId="0" xfId="0" applyFill="1" applyBorder="1"/>
    <xf numFmtId="164" fontId="3" fillId="3" borderId="0" xfId="0" applyNumberFormat="1" applyFont="1" applyFill="1" applyBorder="1" applyAlignment="1">
      <alignment horizontal="center"/>
    </xf>
    <xf numFmtId="0" fontId="3" fillId="3" borderId="0" xfId="0" applyFont="1" applyFill="1" applyBorder="1" applyAlignment="1">
      <alignment horizontal="left"/>
    </xf>
    <xf numFmtId="0" fontId="2" fillId="3" borderId="0" xfId="0" applyFont="1" applyFill="1"/>
    <xf numFmtId="0" fontId="1" fillId="3" borderId="0" xfId="0" applyFont="1" applyFill="1"/>
    <xf numFmtId="0" fontId="3" fillId="3" borderId="0" xfId="0" applyFont="1" applyFill="1" applyBorder="1" applyAlignment="1">
      <alignment horizontal="right"/>
    </xf>
    <xf numFmtId="164" fontId="3" fillId="3" borderId="0" xfId="0" applyNumberFormat="1" applyFont="1" applyFill="1"/>
    <xf numFmtId="0" fontId="44" fillId="3" borderId="0" xfId="0" applyFont="1" applyFill="1"/>
    <xf numFmtId="2" fontId="0" fillId="3" borderId="0" xfId="0" applyNumberFormat="1" applyFill="1"/>
    <xf numFmtId="2" fontId="3" fillId="3" borderId="0" xfId="0" applyNumberFormat="1" applyFont="1" applyFill="1" applyBorder="1"/>
    <xf numFmtId="2" fontId="3" fillId="3" borderId="0" xfId="0" applyNumberFormat="1" applyFont="1" applyFill="1"/>
    <xf numFmtId="2" fontId="36" fillId="3" borderId="0" xfId="0" applyNumberFormat="1" applyFont="1" applyFill="1" applyBorder="1" applyAlignment="1">
      <alignment horizontal="center"/>
    </xf>
    <xf numFmtId="2" fontId="37" fillId="3" borderId="0" xfId="0" applyNumberFormat="1" applyFont="1" applyFill="1" applyBorder="1" applyAlignment="1">
      <alignment horizontal="center"/>
    </xf>
    <xf numFmtId="0" fontId="2" fillId="3" borderId="0" xfId="0" applyFont="1" applyFill="1" applyAlignment="1"/>
    <xf numFmtId="0" fontId="1" fillId="3" borderId="0" xfId="0" applyFont="1" applyFill="1" applyAlignment="1"/>
    <xf numFmtId="164" fontId="0" fillId="3" borderId="0" xfId="0" applyNumberFormat="1" applyFill="1"/>
    <xf numFmtId="164" fontId="3" fillId="3" borderId="0" xfId="0" applyNumberFormat="1" applyFont="1" applyFill="1" applyBorder="1"/>
    <xf numFmtId="0" fontId="3" fillId="3" borderId="0" xfId="0" applyFont="1" applyFill="1" applyBorder="1"/>
    <xf numFmtId="0" fontId="26" fillId="3" borderId="0" xfId="0" applyFont="1" applyFill="1"/>
    <xf numFmtId="0" fontId="26" fillId="3" borderId="0" xfId="0" applyFont="1" applyFill="1" applyBorder="1"/>
    <xf numFmtId="0" fontId="21" fillId="3" borderId="0" xfId="0" applyFont="1" applyFill="1"/>
    <xf numFmtId="0" fontId="42" fillId="3" borderId="0" xfId="0" applyFont="1" applyFill="1"/>
    <xf numFmtId="0" fontId="47" fillId="4" borderId="0" xfId="0" applyFont="1" applyFill="1" applyAlignment="1">
      <alignment horizontal="right"/>
    </xf>
    <xf numFmtId="164" fontId="0" fillId="3" borderId="0" xfId="0" applyNumberFormat="1" applyFill="1" applyAlignment="1">
      <alignment horizontal="right"/>
    </xf>
    <xf numFmtId="0" fontId="14" fillId="4" borderId="9" xfId="0" applyFont="1" applyFill="1" applyBorder="1"/>
    <xf numFmtId="0" fontId="16" fillId="4" borderId="9" xfId="0" applyFont="1" applyFill="1" applyBorder="1"/>
    <xf numFmtId="0" fontId="0" fillId="5" borderId="13" xfId="0" applyFill="1" applyBorder="1"/>
    <xf numFmtId="0" fontId="3" fillId="5" borderId="13" xfId="0" applyFont="1" applyFill="1" applyBorder="1" applyAlignment="1">
      <alignment horizontal="left" vertical="center"/>
    </xf>
    <xf numFmtId="0" fontId="9" fillId="5" borderId="14" xfId="0" applyFont="1" applyFill="1" applyBorder="1" applyAlignment="1">
      <alignment vertical="center" wrapText="1"/>
    </xf>
    <xf numFmtId="0" fontId="0" fillId="5" borderId="12" xfId="0" applyFill="1" applyBorder="1"/>
    <xf numFmtId="0" fontId="3" fillId="5" borderId="19" xfId="0" applyFont="1" applyFill="1" applyBorder="1" applyAlignment="1">
      <alignment horizontal="right"/>
    </xf>
    <xf numFmtId="1" fontId="0" fillId="3" borderId="0" xfId="0" applyNumberFormat="1" applyFill="1" applyAlignment="1">
      <alignment horizontal="center"/>
    </xf>
    <xf numFmtId="0" fontId="8" fillId="5" borderId="2" xfId="0" applyFont="1" applyFill="1" applyBorder="1" applyAlignment="1">
      <alignment wrapText="1"/>
    </xf>
    <xf numFmtId="0" fontId="9" fillId="5" borderId="9" xfId="0" applyFont="1" applyFill="1" applyBorder="1" applyAlignment="1">
      <alignment vertical="center" wrapText="1"/>
    </xf>
    <xf numFmtId="0" fontId="0" fillId="5" borderId="11" xfId="0" applyFill="1" applyBorder="1"/>
    <xf numFmtId="0" fontId="3" fillId="5" borderId="20" xfId="0" applyFont="1" applyFill="1" applyBorder="1" applyAlignment="1">
      <alignment horizontal="right"/>
    </xf>
    <xf numFmtId="164" fontId="0" fillId="3" borderId="0" xfId="0" applyNumberFormat="1" applyFill="1" applyAlignment="1">
      <alignment horizontal="center"/>
    </xf>
    <xf numFmtId="0" fontId="0" fillId="5" borderId="17" xfId="0" applyFill="1" applyBorder="1" applyAlignment="1">
      <alignment horizontal="right"/>
    </xf>
    <xf numFmtId="0" fontId="0" fillId="5" borderId="10" xfId="0" applyFill="1" applyBorder="1" applyAlignment="1">
      <alignment horizontal="right"/>
    </xf>
    <xf numFmtId="0" fontId="0" fillId="5" borderId="5" xfId="0" applyFill="1" applyBorder="1" applyAlignment="1">
      <alignment horizontal="right"/>
    </xf>
    <xf numFmtId="0" fontId="0" fillId="5" borderId="14" xfId="0" applyFill="1" applyBorder="1"/>
    <xf numFmtId="2" fontId="0" fillId="5" borderId="6" xfId="0" applyNumberFormat="1" applyFill="1" applyBorder="1" applyAlignment="1">
      <alignment horizontal="right"/>
    </xf>
    <xf numFmtId="2" fontId="0" fillId="5" borderId="0" xfId="0" applyNumberFormat="1" applyFill="1" applyBorder="1" applyAlignment="1">
      <alignment horizontal="right"/>
    </xf>
    <xf numFmtId="0" fontId="0" fillId="5" borderId="7" xfId="0" applyFill="1" applyBorder="1" applyAlignment="1">
      <alignment horizontal="right"/>
    </xf>
    <xf numFmtId="0" fontId="2" fillId="5" borderId="4" xfId="0" applyFont="1" applyFill="1" applyBorder="1" applyAlignment="1">
      <alignment horizontal="center"/>
    </xf>
    <xf numFmtId="0" fontId="0" fillId="5" borderId="0" xfId="0" applyFill="1" applyBorder="1"/>
    <xf numFmtId="0" fontId="0" fillId="5" borderId="1" xfId="0" applyFill="1" applyBorder="1"/>
    <xf numFmtId="0" fontId="2" fillId="5" borderId="3" xfId="0" applyFont="1" applyFill="1" applyBorder="1" applyAlignment="1">
      <alignment horizontal="right"/>
    </xf>
    <xf numFmtId="2" fontId="0" fillId="5" borderId="2" xfId="0" applyNumberFormat="1" applyFill="1" applyBorder="1" applyAlignment="1">
      <alignment horizontal="right"/>
    </xf>
    <xf numFmtId="2" fontId="0" fillId="5" borderId="9" xfId="0" applyNumberFormat="1" applyFill="1" applyBorder="1" applyAlignment="1">
      <alignment horizontal="right"/>
    </xf>
    <xf numFmtId="0" fontId="0" fillId="5" borderId="11" xfId="0" applyFill="1" applyBorder="1" applyAlignment="1">
      <alignment horizontal="right"/>
    </xf>
    <xf numFmtId="0" fontId="27" fillId="5" borderId="4" xfId="0" applyFont="1" applyFill="1" applyBorder="1" applyAlignment="1">
      <alignment horizontal="left" wrapText="1"/>
    </xf>
    <xf numFmtId="0" fontId="28" fillId="5" borderId="4" xfId="0" applyFont="1" applyFill="1" applyBorder="1" applyAlignment="1">
      <alignment horizontal="center" wrapText="1"/>
    </xf>
    <xf numFmtId="0" fontId="29" fillId="5" borderId="4" xfId="0" applyFont="1" applyFill="1" applyBorder="1" applyAlignment="1">
      <alignment horizontal="center" wrapText="1"/>
    </xf>
    <xf numFmtId="0" fontId="27" fillId="5" borderId="4" xfId="0" applyFont="1" applyFill="1" applyBorder="1" applyAlignment="1">
      <alignment horizontal="center" wrapText="1"/>
    </xf>
    <xf numFmtId="2" fontId="12" fillId="4" borderId="14" xfId="0" applyNumberFormat="1" applyFont="1" applyFill="1" applyBorder="1" applyAlignment="1">
      <alignment horizontal="right"/>
    </xf>
    <xf numFmtId="2" fontId="12" fillId="4" borderId="12" xfId="0" applyNumberFormat="1" applyFont="1" applyFill="1" applyBorder="1" applyAlignment="1">
      <alignment horizontal="right"/>
    </xf>
    <xf numFmtId="2" fontId="12" fillId="4" borderId="0" xfId="0" applyNumberFormat="1" applyFont="1" applyFill="1" applyAlignment="1">
      <alignment horizontal="right"/>
    </xf>
    <xf numFmtId="2" fontId="12" fillId="4" borderId="9" xfId="0" applyNumberFormat="1" applyFont="1" applyFill="1" applyBorder="1" applyAlignment="1">
      <alignment horizontal="right"/>
    </xf>
    <xf numFmtId="2" fontId="12" fillId="4" borderId="11" xfId="0" applyNumberFormat="1" applyFont="1" applyFill="1" applyBorder="1" applyAlignment="1">
      <alignment horizontal="right"/>
    </xf>
    <xf numFmtId="1" fontId="12" fillId="4" borderId="0" xfId="0" applyNumberFormat="1" applyFont="1" applyFill="1" applyAlignment="1">
      <alignment horizontal="right"/>
    </xf>
    <xf numFmtId="164" fontId="12" fillId="4" borderId="14" xfId="0" applyNumberFormat="1" applyFont="1" applyFill="1" applyBorder="1" applyAlignment="1">
      <alignment horizontal="right"/>
    </xf>
    <xf numFmtId="164" fontId="12" fillId="4" borderId="12" xfId="0" applyNumberFormat="1" applyFont="1" applyFill="1" applyBorder="1" applyAlignment="1">
      <alignment horizontal="right"/>
    </xf>
    <xf numFmtId="164" fontId="12" fillId="4" borderId="0" xfId="0" applyNumberFormat="1" applyFont="1" applyFill="1" applyAlignment="1">
      <alignment horizontal="right"/>
    </xf>
    <xf numFmtId="164" fontId="12" fillId="4" borderId="9" xfId="0" applyNumberFormat="1" applyFont="1" applyFill="1" applyBorder="1" applyAlignment="1">
      <alignment horizontal="right"/>
    </xf>
    <xf numFmtId="164" fontId="12" fillId="4" borderId="11" xfId="0" applyNumberFormat="1" applyFont="1" applyFill="1" applyBorder="1" applyAlignment="1">
      <alignment horizontal="right"/>
    </xf>
    <xf numFmtId="2" fontId="12" fillId="4" borderId="0" xfId="0" applyNumberFormat="1" applyFont="1" applyFill="1" applyBorder="1" applyAlignment="1">
      <alignment horizontal="right"/>
    </xf>
    <xf numFmtId="0" fontId="5" fillId="0" borderId="0" xfId="0" applyFont="1" applyFill="1" applyAlignment="1">
      <alignment horizontal="left"/>
    </xf>
    <xf numFmtId="0" fontId="3" fillId="0" borderId="0" xfId="0" applyFont="1" applyFill="1" applyAlignment="1">
      <alignment horizontal="left"/>
    </xf>
    <xf numFmtId="0" fontId="13" fillId="0" borderId="0" xfId="0" applyFont="1" applyFill="1" applyAlignment="1">
      <alignment horizontal="left"/>
    </xf>
    <xf numFmtId="0" fontId="26" fillId="6" borderId="0" xfId="0" applyFont="1" applyFill="1"/>
    <xf numFmtId="0" fontId="0" fillId="6" borderId="0" xfId="0" applyFill="1"/>
    <xf numFmtId="0" fontId="0" fillId="7" borderId="0" xfId="0" applyFill="1"/>
    <xf numFmtId="0" fontId="0" fillId="3" borderId="6" xfId="0" applyFill="1" applyBorder="1"/>
    <xf numFmtId="0" fontId="0" fillId="3" borderId="14" xfId="0" applyFill="1" applyBorder="1" applyAlignment="1">
      <alignment horizontal="center"/>
    </xf>
    <xf numFmtId="0" fontId="1" fillId="3" borderId="14" xfId="0" applyFont="1" applyFill="1" applyBorder="1" applyAlignment="1">
      <alignment horizontal="right"/>
    </xf>
    <xf numFmtId="2" fontId="0" fillId="3" borderId="13" xfId="0" applyNumberFormat="1" applyFill="1" applyBorder="1" applyAlignment="1">
      <alignment horizontal="right"/>
    </xf>
    <xf numFmtId="164" fontId="0" fillId="3" borderId="14" xfId="0" applyNumberFormat="1" applyFill="1" applyBorder="1" applyAlignment="1">
      <alignment horizontal="right"/>
    </xf>
    <xf numFmtId="2" fontId="34" fillId="3" borderId="14" xfId="0" applyNumberFormat="1" applyFont="1" applyFill="1" applyBorder="1" applyAlignment="1">
      <alignment horizontal="right"/>
    </xf>
    <xf numFmtId="0" fontId="1" fillId="3" borderId="0" xfId="0" applyFont="1" applyFill="1" applyBorder="1"/>
    <xf numFmtId="0" fontId="0" fillId="3" borderId="0" xfId="0" applyFill="1" applyAlignment="1">
      <alignment horizontal="center"/>
    </xf>
    <xf numFmtId="0" fontId="1" fillId="3" borderId="0" xfId="0" applyFont="1" applyFill="1" applyAlignment="1">
      <alignment horizontal="right"/>
    </xf>
    <xf numFmtId="2" fontId="0" fillId="3" borderId="2" xfId="0" applyNumberFormat="1" applyFill="1" applyBorder="1" applyAlignment="1">
      <alignment horizontal="right"/>
    </xf>
    <xf numFmtId="0" fontId="1" fillId="3" borderId="9" xfId="0" applyFont="1" applyFill="1" applyBorder="1" applyAlignment="1">
      <alignment horizontal="right"/>
    </xf>
    <xf numFmtId="0" fontId="1" fillId="3" borderId="0" xfId="0" applyFont="1" applyFill="1" applyBorder="1" applyAlignment="1">
      <alignment horizontal="right"/>
    </xf>
    <xf numFmtId="2" fontId="34" fillId="3" borderId="0" xfId="0" applyNumberFormat="1" applyFont="1" applyFill="1" applyAlignment="1">
      <alignment horizontal="right"/>
    </xf>
    <xf numFmtId="164" fontId="0" fillId="3" borderId="13" xfId="0" applyNumberFormat="1" applyFill="1" applyBorder="1" applyAlignment="1">
      <alignment horizontal="right"/>
    </xf>
    <xf numFmtId="164" fontId="1" fillId="3" borderId="14" xfId="0" applyNumberFormat="1" applyFont="1" applyFill="1" applyBorder="1" applyAlignment="1">
      <alignment horizontal="right"/>
    </xf>
    <xf numFmtId="164" fontId="0" fillId="3" borderId="2" xfId="0" applyNumberFormat="1" applyFill="1" applyBorder="1" applyAlignment="1">
      <alignment horizontal="right"/>
    </xf>
    <xf numFmtId="2" fontId="0" fillId="3" borderId="0" xfId="0" applyNumberFormat="1" applyFill="1" applyBorder="1" applyAlignment="1">
      <alignment horizontal="right"/>
    </xf>
    <xf numFmtId="0" fontId="1" fillId="3" borderId="0" xfId="0" applyFont="1" applyFill="1" applyAlignment="1">
      <alignment horizontal="left"/>
    </xf>
    <xf numFmtId="2" fontId="12" fillId="3" borderId="0" xfId="0" applyNumberFormat="1" applyFont="1" applyFill="1" applyAlignment="1">
      <alignment horizontal="right"/>
    </xf>
    <xf numFmtId="166" fontId="1" fillId="3" borderId="0" xfId="0" applyNumberFormat="1" applyFont="1" applyFill="1" applyBorder="1" applyAlignment="1">
      <alignment horizontal="right"/>
    </xf>
    <xf numFmtId="2" fontId="21" fillId="3" borderId="0" xfId="0" applyNumberFormat="1" applyFont="1" applyFill="1" applyAlignment="1">
      <alignment horizontal="right"/>
    </xf>
    <xf numFmtId="2" fontId="21" fillId="3" borderId="0" xfId="0" applyNumberFormat="1" applyFont="1" applyFill="1"/>
    <xf numFmtId="2" fontId="2" fillId="3" borderId="0" xfId="0" applyNumberFormat="1" applyFont="1" applyFill="1" applyAlignment="1">
      <alignment horizontal="right"/>
    </xf>
    <xf numFmtId="2" fontId="12" fillId="3" borderId="0" xfId="0" applyNumberFormat="1" applyFont="1" applyFill="1"/>
    <xf numFmtId="164" fontId="12" fillId="3" borderId="0" xfId="0" applyNumberFormat="1" applyFont="1" applyFill="1"/>
    <xf numFmtId="1" fontId="0" fillId="3" borderId="0" xfId="0" applyNumberFormat="1" applyFill="1"/>
    <xf numFmtId="0" fontId="21" fillId="3" borderId="0" xfId="0" applyFont="1" applyFill="1" applyAlignment="1">
      <alignment horizontal="right"/>
    </xf>
    <xf numFmtId="166" fontId="12" fillId="3" borderId="0" xfId="0" applyNumberFormat="1" applyFont="1" applyFill="1"/>
    <xf numFmtId="0" fontId="0" fillId="5" borderId="6" xfId="0" applyFill="1" applyBorder="1"/>
    <xf numFmtId="164" fontId="12" fillId="4" borderId="7" xfId="0" applyNumberFormat="1" applyFont="1" applyFill="1" applyBorder="1" applyAlignment="1">
      <alignment horizontal="right"/>
    </xf>
    <xf numFmtId="2" fontId="39" fillId="3" borderId="0" xfId="0" applyNumberFormat="1" applyFont="1" applyFill="1" applyAlignment="1">
      <alignment horizontal="right"/>
    </xf>
    <xf numFmtId="0" fontId="39" fillId="3" borderId="0" xfId="0" applyFont="1" applyFill="1" applyAlignment="1">
      <alignment horizontal="right"/>
    </xf>
    <xf numFmtId="164" fontId="39" fillId="3" borderId="0" xfId="0" applyNumberFormat="1" applyFont="1" applyFill="1" applyAlignment="1">
      <alignment horizontal="right"/>
    </xf>
    <xf numFmtId="2" fontId="12" fillId="4" borderId="7" xfId="0" applyNumberFormat="1" applyFont="1" applyFill="1" applyBorder="1" applyAlignment="1">
      <alignment horizontal="right"/>
    </xf>
    <xf numFmtId="0" fontId="0" fillId="5" borderId="2" xfId="0" applyFill="1" applyBorder="1"/>
    <xf numFmtId="0" fontId="0" fillId="5" borderId="9" xfId="0" applyFill="1" applyBorder="1"/>
    <xf numFmtId="2" fontId="34" fillId="3" borderId="5" xfId="0" applyNumberFormat="1" applyFont="1" applyFill="1" applyBorder="1" applyAlignment="1"/>
    <xf numFmtId="0" fontId="39" fillId="3" borderId="0" xfId="0" applyFont="1" applyFill="1"/>
    <xf numFmtId="165" fontId="39" fillId="3" borderId="0" xfId="0" applyNumberFormat="1" applyFont="1" applyFill="1" applyAlignment="1">
      <alignment horizontal="right"/>
    </xf>
    <xf numFmtId="165" fontId="0" fillId="3" borderId="0" xfId="0" applyNumberFormat="1" applyFill="1" applyBorder="1" applyAlignment="1">
      <alignment horizontal="right"/>
    </xf>
    <xf numFmtId="1" fontId="12" fillId="4" borderId="9" xfId="0" applyNumberFormat="1" applyFont="1" applyFill="1" applyBorder="1" applyAlignment="1">
      <alignment horizontal="right"/>
    </xf>
    <xf numFmtId="0" fontId="0" fillId="5" borderId="1" xfId="0" applyFill="1" applyBorder="1" applyAlignment="1">
      <alignment horizontal="center"/>
    </xf>
    <xf numFmtId="0" fontId="2" fillId="5" borderId="8" xfId="0" applyFont="1" applyFill="1" applyBorder="1" applyAlignment="1">
      <alignment horizontal="center"/>
    </xf>
    <xf numFmtId="164" fontId="3" fillId="3" borderId="14" xfId="0" applyNumberFormat="1" applyFont="1" applyFill="1" applyBorder="1"/>
    <xf numFmtId="164" fontId="12" fillId="4" borderId="0" xfId="0" applyNumberFormat="1" applyFont="1" applyFill="1" applyBorder="1" applyAlignment="1">
      <alignment horizontal="right"/>
    </xf>
    <xf numFmtId="0" fontId="3" fillId="3" borderId="2" xfId="0" applyFont="1" applyFill="1" applyBorder="1" applyAlignment="1">
      <alignment horizontal="right"/>
    </xf>
    <xf numFmtId="2" fontId="53" fillId="4" borderId="0" xfId="0" applyNumberFormat="1" applyFont="1" applyFill="1" applyBorder="1"/>
    <xf numFmtId="0" fontId="1" fillId="3" borderId="1" xfId="0" applyFont="1" applyFill="1" applyBorder="1"/>
    <xf numFmtId="0" fontId="38" fillId="3" borderId="3" xfId="0" applyFont="1" applyFill="1" applyBorder="1" applyAlignment="1">
      <alignment horizontal="right"/>
    </xf>
    <xf numFmtId="0" fontId="42" fillId="3" borderId="1" xfId="0" applyFont="1" applyFill="1" applyBorder="1"/>
    <xf numFmtId="0" fontId="22" fillId="3" borderId="3" xfId="0" applyFont="1" applyFill="1" applyBorder="1" applyAlignment="1">
      <alignment horizontal="right"/>
    </xf>
    <xf numFmtId="0" fontId="22" fillId="3" borderId="0" xfId="0" applyFont="1" applyFill="1"/>
    <xf numFmtId="0" fontId="31" fillId="3" borderId="2" xfId="0" applyFont="1" applyFill="1" applyBorder="1" applyAlignment="1">
      <alignment horizontal="right" wrapText="1"/>
    </xf>
    <xf numFmtId="164" fontId="22" fillId="3" borderId="4" xfId="0" applyNumberFormat="1" applyFont="1" applyFill="1" applyBorder="1" applyAlignment="1">
      <alignment horizontal="left"/>
    </xf>
    <xf numFmtId="0" fontId="31" fillId="3" borderId="1" xfId="0" applyFont="1" applyFill="1" applyBorder="1" applyAlignment="1">
      <alignment horizontal="right" wrapText="1"/>
    </xf>
    <xf numFmtId="164" fontId="22" fillId="3" borderId="4" xfId="0" applyNumberFormat="1" applyFont="1" applyFill="1" applyBorder="1" applyAlignment="1">
      <alignment horizontal="right"/>
    </xf>
    <xf numFmtId="0" fontId="22" fillId="3" borderId="2" xfId="0" applyFont="1" applyFill="1" applyBorder="1" applyAlignment="1">
      <alignment horizontal="right"/>
    </xf>
    <xf numFmtId="2" fontId="22" fillId="3" borderId="4" xfId="0" applyNumberFormat="1" applyFont="1" applyFill="1" applyBorder="1" applyAlignment="1">
      <alignment horizontal="center"/>
    </xf>
    <xf numFmtId="0" fontId="54" fillId="3" borderId="0" xfId="0" applyFont="1" applyFill="1"/>
    <xf numFmtId="2" fontId="54" fillId="3" borderId="0" xfId="0" applyNumberFormat="1" applyFont="1" applyFill="1" applyAlignment="1">
      <alignment horizontal="right"/>
    </xf>
    <xf numFmtId="2" fontId="55" fillId="3" borderId="0" xfId="0" applyNumberFormat="1" applyFont="1" applyFill="1" applyAlignment="1">
      <alignment horizontal="right"/>
    </xf>
    <xf numFmtId="0" fontId="54" fillId="3" borderId="0" xfId="0" applyFont="1" applyFill="1" applyAlignment="1">
      <alignment horizontal="right"/>
    </xf>
    <xf numFmtId="164" fontId="54" fillId="3" borderId="0" xfId="0" applyNumberFormat="1" applyFont="1" applyFill="1" applyAlignment="1">
      <alignment horizontal="right"/>
    </xf>
    <xf numFmtId="1" fontId="54" fillId="3" borderId="0" xfId="0" applyNumberFormat="1" applyFont="1" applyFill="1" applyAlignment="1">
      <alignment horizontal="right"/>
    </xf>
    <xf numFmtId="1" fontId="54" fillId="3" borderId="0" xfId="0" applyNumberFormat="1" applyFont="1" applyFill="1" applyAlignment="1">
      <alignment horizontal="center"/>
    </xf>
    <xf numFmtId="0" fontId="54" fillId="3" borderId="0" xfId="0" applyFont="1" applyFill="1" applyBorder="1" applyAlignment="1">
      <alignment horizontal="right"/>
    </xf>
    <xf numFmtId="164" fontId="54" fillId="3" borderId="0" xfId="0" applyNumberFormat="1" applyFont="1" applyFill="1" applyBorder="1" applyAlignment="1">
      <alignment horizontal="right"/>
    </xf>
    <xf numFmtId="2" fontId="54" fillId="3" borderId="0" xfId="0" applyNumberFormat="1" applyFont="1" applyFill="1" applyBorder="1" applyAlignment="1">
      <alignment horizontal="right"/>
    </xf>
    <xf numFmtId="166" fontId="54" fillId="3" borderId="0" xfId="0" applyNumberFormat="1" applyFont="1" applyFill="1" applyAlignment="1">
      <alignment horizontal="right"/>
    </xf>
    <xf numFmtId="1" fontId="1" fillId="4" borderId="3" xfId="0" applyNumberFormat="1" applyFont="1" applyFill="1" applyBorder="1" applyAlignment="1">
      <alignment horizontal="center"/>
    </xf>
    <xf numFmtId="0" fontId="0" fillId="3" borderId="1" xfId="0" applyFill="1" applyBorder="1"/>
    <xf numFmtId="0" fontId="0" fillId="3" borderId="3" xfId="0" applyFill="1" applyBorder="1" applyAlignment="1">
      <alignment horizontal="right"/>
    </xf>
    <xf numFmtId="1" fontId="1" fillId="4" borderId="0" xfId="0" applyNumberFormat="1" applyFont="1" applyFill="1" applyBorder="1" applyAlignment="1">
      <alignment horizontal="center"/>
    </xf>
    <xf numFmtId="0" fontId="1" fillId="3" borderId="3" xfId="0" applyFont="1" applyFill="1" applyBorder="1" applyAlignment="1">
      <alignment horizontal="right"/>
    </xf>
    <xf numFmtId="164" fontId="11" fillId="4" borderId="3" xfId="0" applyNumberFormat="1" applyFont="1" applyFill="1" applyBorder="1" applyAlignment="1">
      <alignment horizontal="center"/>
    </xf>
    <xf numFmtId="0" fontId="8" fillId="3" borderId="2" xfId="0" applyFont="1" applyFill="1" applyBorder="1" applyAlignment="1">
      <alignment horizontal="right" wrapText="1"/>
    </xf>
    <xf numFmtId="164" fontId="12" fillId="4" borderId="4" xfId="0" applyNumberFormat="1" applyFont="1" applyFill="1" applyBorder="1" applyAlignment="1">
      <alignment horizontal="left"/>
    </xf>
    <xf numFmtId="0" fontId="8" fillId="3" borderId="1" xfId="0" applyFont="1" applyFill="1" applyBorder="1" applyAlignment="1">
      <alignment horizontal="right" wrapText="1"/>
    </xf>
    <xf numFmtId="164" fontId="12" fillId="4" borderId="4" xfId="0" applyNumberFormat="1" applyFont="1" applyFill="1" applyBorder="1" applyAlignment="1">
      <alignment horizontal="right"/>
    </xf>
    <xf numFmtId="0" fontId="1" fillId="3" borderId="2" xfId="0" applyFont="1" applyFill="1" applyBorder="1" applyAlignment="1">
      <alignment horizontal="right"/>
    </xf>
    <xf numFmtId="164" fontId="12" fillId="4" borderId="5" xfId="0" applyNumberFormat="1" applyFont="1" applyFill="1" applyBorder="1" applyAlignment="1">
      <alignment horizontal="center"/>
    </xf>
    <xf numFmtId="0" fontId="26" fillId="5" borderId="4" xfId="0" applyFont="1" applyFill="1" applyBorder="1" applyAlignment="1">
      <alignment horizontal="center" wrapText="1"/>
    </xf>
    <xf numFmtId="0" fontId="3" fillId="3" borderId="3" xfId="0" applyFont="1" applyFill="1" applyBorder="1" applyAlignment="1">
      <alignment horizontal="right"/>
    </xf>
    <xf numFmtId="1" fontId="42" fillId="4" borderId="3" xfId="0" applyNumberFormat="1" applyFont="1" applyFill="1" applyBorder="1" applyAlignment="1">
      <alignment horizontal="center"/>
    </xf>
    <xf numFmtId="1" fontId="3" fillId="4" borderId="4" xfId="0" applyNumberFormat="1" applyFont="1" applyFill="1" applyBorder="1" applyAlignment="1">
      <alignment horizontal="center"/>
    </xf>
    <xf numFmtId="164" fontId="12" fillId="4" borderId="4" xfId="0" applyNumberFormat="1" applyFont="1" applyFill="1" applyBorder="1" applyAlignment="1">
      <alignment horizontal="center"/>
    </xf>
    <xf numFmtId="2" fontId="11" fillId="4" borderId="3" xfId="0" applyNumberFormat="1" applyFont="1" applyFill="1" applyBorder="1" applyAlignment="1">
      <alignment horizontal="center"/>
    </xf>
    <xf numFmtId="2" fontId="12" fillId="4" borderId="4" xfId="0" applyNumberFormat="1" applyFont="1" applyFill="1" applyBorder="1" applyAlignment="1">
      <alignment horizontal="left"/>
    </xf>
    <xf numFmtId="2" fontId="12" fillId="4" borderId="4" xfId="0" applyNumberFormat="1" applyFont="1" applyFill="1" applyBorder="1" applyAlignment="1">
      <alignment horizontal="right"/>
    </xf>
    <xf numFmtId="2" fontId="12" fillId="4" borderId="4" xfId="0" applyNumberFormat="1" applyFont="1" applyFill="1" applyBorder="1" applyAlignment="1">
      <alignment horizontal="center"/>
    </xf>
    <xf numFmtId="2" fontId="12" fillId="4" borderId="3" xfId="0" applyNumberFormat="1" applyFont="1" applyFill="1" applyBorder="1" applyAlignment="1">
      <alignment horizontal="center"/>
    </xf>
    <xf numFmtId="0" fontId="8" fillId="3" borderId="0" xfId="0" applyFont="1" applyFill="1" applyBorder="1" applyAlignment="1">
      <alignment horizontal="right" wrapText="1"/>
    </xf>
    <xf numFmtId="0" fontId="17" fillId="3" borderId="0" xfId="0" quotePrefix="1" applyFont="1" applyFill="1" applyBorder="1" applyAlignment="1">
      <alignment horizontal="right"/>
    </xf>
    <xf numFmtId="0" fontId="18" fillId="3" borderId="0" xfId="0" quotePrefix="1" applyFont="1" applyFill="1" applyBorder="1" applyAlignment="1">
      <alignment horizontal="right"/>
    </xf>
    <xf numFmtId="0" fontId="10" fillId="3" borderId="0" xfId="0" applyFont="1" applyFill="1" applyBorder="1" applyAlignment="1">
      <alignment horizontal="right" vertical="center" wrapText="1"/>
    </xf>
    <xf numFmtId="0" fontId="0" fillId="3" borderId="0" xfId="0" applyFill="1" applyBorder="1" applyAlignment="1">
      <alignment horizontal="right" vertical="center" wrapText="1"/>
    </xf>
    <xf numFmtId="2" fontId="12" fillId="3" borderId="0" xfId="0" applyNumberFormat="1" applyFont="1" applyFill="1" applyBorder="1" applyAlignment="1">
      <alignment horizontal="right"/>
    </xf>
    <xf numFmtId="0" fontId="8" fillId="3" borderId="5" xfId="0" applyFont="1" applyFill="1" applyBorder="1" applyAlignment="1">
      <alignment horizontal="right"/>
    </xf>
    <xf numFmtId="0" fontId="8" fillId="3" borderId="0" xfId="0" applyFont="1" applyFill="1" applyBorder="1"/>
    <xf numFmtId="0" fontId="2" fillId="3" borderId="8" xfId="0" applyFont="1" applyFill="1" applyBorder="1" applyAlignment="1">
      <alignment horizontal="left"/>
    </xf>
    <xf numFmtId="0" fontId="2" fillId="4" borderId="8" xfId="0" applyFont="1" applyFill="1" applyBorder="1" applyAlignment="1">
      <alignment horizontal="left"/>
    </xf>
    <xf numFmtId="2" fontId="12" fillId="4" borderId="12" xfId="0" applyNumberFormat="1" applyFont="1" applyFill="1" applyBorder="1" applyAlignment="1">
      <alignment horizontal="center"/>
    </xf>
    <xf numFmtId="0" fontId="2" fillId="3" borderId="1" xfId="0" applyFont="1" applyFill="1" applyBorder="1" applyAlignment="1">
      <alignment horizontal="left"/>
    </xf>
    <xf numFmtId="0" fontId="8" fillId="3" borderId="4" xfId="0" applyFont="1" applyFill="1" applyBorder="1" applyAlignment="1">
      <alignment horizontal="right" wrapText="1"/>
    </xf>
    <xf numFmtId="0" fontId="30" fillId="3" borderId="1" xfId="0" applyFont="1" applyFill="1" applyBorder="1" applyAlignment="1">
      <alignment horizontal="left"/>
    </xf>
    <xf numFmtId="0" fontId="30" fillId="3" borderId="8" xfId="0" applyFont="1" applyFill="1" applyBorder="1" applyAlignment="1">
      <alignment horizontal="left"/>
    </xf>
    <xf numFmtId="0" fontId="21" fillId="3" borderId="1" xfId="0" applyFont="1" applyFill="1" applyBorder="1"/>
    <xf numFmtId="0" fontId="2" fillId="3" borderId="3" xfId="0" applyFont="1" applyFill="1" applyBorder="1" applyAlignment="1">
      <alignment horizontal="left"/>
    </xf>
    <xf numFmtId="0" fontId="30" fillId="3" borderId="3" xfId="0" applyFont="1" applyFill="1" applyBorder="1" applyAlignment="1">
      <alignment horizontal="left"/>
    </xf>
    <xf numFmtId="164" fontId="12" fillId="4" borderId="12" xfId="0" applyNumberFormat="1" applyFont="1" applyFill="1" applyBorder="1" applyAlignment="1">
      <alignment horizontal="center"/>
    </xf>
    <xf numFmtId="164" fontId="22" fillId="3" borderId="12" xfId="0" applyNumberFormat="1" applyFont="1" applyFill="1" applyBorder="1" applyAlignment="1">
      <alignment horizontal="center"/>
    </xf>
    <xf numFmtId="2" fontId="12" fillId="3" borderId="0" xfId="0" applyNumberFormat="1" applyFont="1" applyFill="1" applyBorder="1" applyAlignment="1">
      <alignment horizontal="left"/>
    </xf>
    <xf numFmtId="0" fontId="57" fillId="5" borderId="4" xfId="0" applyFont="1" applyFill="1" applyBorder="1" applyAlignment="1">
      <alignment horizontal="center" wrapText="1"/>
    </xf>
    <xf numFmtId="0" fontId="54" fillId="3" borderId="1" xfId="0" applyFont="1" applyFill="1" applyBorder="1"/>
    <xf numFmtId="0" fontId="58" fillId="3" borderId="3" xfId="0" applyFont="1" applyFill="1" applyBorder="1" applyAlignment="1">
      <alignment horizontal="right"/>
    </xf>
    <xf numFmtId="1" fontId="54" fillId="3" borderId="3" xfId="0" applyNumberFormat="1" applyFont="1" applyFill="1" applyBorder="1" applyAlignment="1">
      <alignment horizontal="center"/>
    </xf>
    <xf numFmtId="0" fontId="54" fillId="3" borderId="3" xfId="0" applyFont="1" applyFill="1" applyBorder="1" applyAlignment="1">
      <alignment horizontal="right"/>
    </xf>
    <xf numFmtId="1" fontId="54" fillId="3" borderId="4" xfId="0" applyNumberFormat="1" applyFont="1" applyFill="1" applyBorder="1" applyAlignment="1">
      <alignment horizontal="center"/>
    </xf>
    <xf numFmtId="1" fontId="54" fillId="3" borderId="0" xfId="0" applyNumberFormat="1" applyFont="1" applyFill="1" applyBorder="1" applyAlignment="1">
      <alignment horizontal="center"/>
    </xf>
    <xf numFmtId="164" fontId="55" fillId="3" borderId="3" xfId="0" applyNumberFormat="1" applyFont="1" applyFill="1" applyBorder="1" applyAlignment="1">
      <alignment horizontal="center"/>
    </xf>
    <xf numFmtId="0" fontId="58" fillId="3" borderId="2" xfId="0" applyFont="1" applyFill="1" applyBorder="1" applyAlignment="1">
      <alignment horizontal="right" wrapText="1"/>
    </xf>
    <xf numFmtId="164" fontId="54" fillId="3" borderId="4" xfId="0" applyNumberFormat="1" applyFont="1" applyFill="1" applyBorder="1" applyAlignment="1">
      <alignment horizontal="left"/>
    </xf>
    <xf numFmtId="0" fontId="58" fillId="3" borderId="1" xfId="0" applyFont="1" applyFill="1" applyBorder="1" applyAlignment="1">
      <alignment horizontal="right" wrapText="1"/>
    </xf>
    <xf numFmtId="164" fontId="54" fillId="3" borderId="4" xfId="0" applyNumberFormat="1" applyFont="1" applyFill="1" applyBorder="1" applyAlignment="1">
      <alignment horizontal="right"/>
    </xf>
    <xf numFmtId="0" fontId="54" fillId="3" borderId="2" xfId="0" applyFont="1" applyFill="1" applyBorder="1" applyAlignment="1">
      <alignment horizontal="right"/>
    </xf>
    <xf numFmtId="164" fontId="54" fillId="3" borderId="5" xfId="0" applyNumberFormat="1" applyFont="1" applyFill="1" applyBorder="1" applyAlignment="1">
      <alignment horizontal="center"/>
    </xf>
    <xf numFmtId="0" fontId="60" fillId="3" borderId="1" xfId="0" quotePrefix="1" applyFont="1" applyFill="1" applyBorder="1" applyAlignment="1">
      <alignment horizontal="right"/>
    </xf>
    <xf numFmtId="2" fontId="54" fillId="3" borderId="4" xfId="0" applyNumberFormat="1" applyFont="1" applyFill="1" applyBorder="1" applyAlignment="1">
      <alignment horizontal="center"/>
    </xf>
    <xf numFmtId="0" fontId="60" fillId="3" borderId="2" xfId="0" quotePrefix="1" applyFont="1" applyFill="1" applyBorder="1" applyAlignment="1">
      <alignment horizontal="right"/>
    </xf>
    <xf numFmtId="1" fontId="54" fillId="3" borderId="10" xfId="0" applyNumberFormat="1" applyFont="1" applyFill="1" applyBorder="1" applyAlignment="1">
      <alignment horizontal="center"/>
    </xf>
    <xf numFmtId="1" fontId="61" fillId="3" borderId="5" xfId="0" applyNumberFormat="1" applyFont="1" applyFill="1" applyBorder="1" applyAlignment="1">
      <alignment horizontal="center" vertical="center" wrapText="1"/>
    </xf>
    <xf numFmtId="0" fontId="58" fillId="3" borderId="1" xfId="0" applyFont="1" applyFill="1" applyBorder="1"/>
    <xf numFmtId="0" fontId="58" fillId="3" borderId="0" xfId="0" applyFont="1" applyFill="1" applyBorder="1" applyAlignment="1">
      <alignment horizontal="right"/>
    </xf>
    <xf numFmtId="0" fontId="54" fillId="3" borderId="8" xfId="0" applyFont="1" applyFill="1" applyBorder="1"/>
    <xf numFmtId="0" fontId="54" fillId="3" borderId="3" xfId="0" applyFont="1" applyFill="1" applyBorder="1"/>
    <xf numFmtId="0" fontId="54" fillId="3" borderId="8" xfId="0" applyFont="1" applyFill="1" applyBorder="1" applyAlignment="1">
      <alignment horizontal="right"/>
    </xf>
    <xf numFmtId="164" fontId="54" fillId="3" borderId="4" xfId="0" applyNumberFormat="1" applyFont="1" applyFill="1" applyBorder="1" applyAlignment="1">
      <alignment horizontal="center"/>
    </xf>
    <xf numFmtId="164" fontId="54" fillId="3" borderId="3" xfId="0" applyNumberFormat="1" applyFont="1" applyFill="1" applyBorder="1" applyAlignment="1">
      <alignment horizontal="center"/>
    </xf>
    <xf numFmtId="164" fontId="54" fillId="3" borderId="4" xfId="0" applyNumberFormat="1" applyFont="1" applyFill="1" applyBorder="1"/>
    <xf numFmtId="0" fontId="1" fillId="5" borderId="3" xfId="0" applyFont="1" applyFill="1" applyBorder="1" applyAlignment="1">
      <alignment horizontal="right"/>
    </xf>
    <xf numFmtId="0" fontId="2" fillId="5" borderId="1" xfId="0" applyFont="1" applyFill="1" applyBorder="1" applyAlignment="1">
      <alignment horizontal="center"/>
    </xf>
    <xf numFmtId="2" fontId="48" fillId="0" borderId="4" xfId="0" applyNumberFormat="1" applyFont="1" applyFill="1" applyBorder="1" applyAlignment="1">
      <alignment horizontal="center"/>
    </xf>
    <xf numFmtId="0" fontId="23" fillId="5" borderId="11" xfId="0" applyFont="1" applyFill="1" applyBorder="1" applyAlignment="1">
      <alignment horizontal="right" vertical="top"/>
    </xf>
    <xf numFmtId="0" fontId="23" fillId="8" borderId="11" xfId="0" applyFont="1" applyFill="1" applyBorder="1" applyAlignment="1">
      <alignment horizontal="right" vertical="top"/>
    </xf>
    <xf numFmtId="0" fontId="1" fillId="9" borderId="3" xfId="0" applyFont="1" applyFill="1" applyBorder="1" applyAlignment="1">
      <alignment horizontal="right"/>
    </xf>
    <xf numFmtId="0" fontId="2" fillId="8" borderId="0" xfId="0" applyFont="1" applyFill="1"/>
    <xf numFmtId="0" fontId="2" fillId="8" borderId="0" xfId="0" applyFont="1" applyFill="1" applyAlignment="1"/>
    <xf numFmtId="0" fontId="1" fillId="8" borderId="0" xfId="0" applyFont="1" applyFill="1" applyAlignment="1"/>
    <xf numFmtId="0" fontId="3" fillId="9" borderId="1" xfId="0" applyFont="1" applyFill="1" applyBorder="1"/>
    <xf numFmtId="0" fontId="3" fillId="9" borderId="8" xfId="0" applyFont="1" applyFill="1" applyBorder="1"/>
    <xf numFmtId="0" fontId="3" fillId="9" borderId="3" xfId="0" applyFont="1" applyFill="1" applyBorder="1" applyAlignment="1">
      <alignment horizontal="right"/>
    </xf>
    <xf numFmtId="0" fontId="1" fillId="5" borderId="13" xfId="0" applyFont="1" applyFill="1" applyBorder="1" applyAlignment="1">
      <alignment horizontal="left" vertical="center"/>
    </xf>
    <xf numFmtId="0" fontId="1" fillId="5" borderId="2" xfId="0" applyFont="1" applyFill="1" applyBorder="1" applyAlignment="1">
      <alignment horizontal="left" vertical="center"/>
    </xf>
    <xf numFmtId="0" fontId="0" fillId="5" borderId="7" xfId="0" applyFill="1" applyBorder="1"/>
    <xf numFmtId="0" fontId="66" fillId="3" borderId="0" xfId="0" applyFont="1" applyFill="1" applyBorder="1" applyAlignment="1">
      <alignment horizontal="right"/>
    </xf>
    <xf numFmtId="0" fontId="66" fillId="3" borderId="0" xfId="0" applyFont="1" applyFill="1" applyAlignment="1">
      <alignment horizontal="right"/>
    </xf>
    <xf numFmtId="2" fontId="66" fillId="3" borderId="0" xfId="0" applyNumberFormat="1" applyFont="1" applyFill="1" applyAlignment="1">
      <alignment horizontal="right"/>
    </xf>
    <xf numFmtId="1" fontId="66" fillId="3" borderId="0" xfId="0" applyNumberFormat="1" applyFont="1" applyFill="1" applyAlignment="1">
      <alignment horizontal="right"/>
    </xf>
    <xf numFmtId="166" fontId="12" fillId="4" borderId="14" xfId="0" applyNumberFormat="1" applyFont="1" applyFill="1" applyBorder="1" applyAlignment="1">
      <alignment horizontal="right"/>
    </xf>
    <xf numFmtId="166" fontId="12" fillId="4" borderId="12" xfId="0" applyNumberFormat="1" applyFont="1" applyFill="1" applyBorder="1" applyAlignment="1">
      <alignment horizontal="right"/>
    </xf>
    <xf numFmtId="0" fontId="66" fillId="3" borderId="13" xfId="0" applyFont="1" applyFill="1" applyBorder="1" applyAlignment="1">
      <alignment horizontal="right"/>
    </xf>
    <xf numFmtId="166" fontId="66" fillId="3" borderId="14" xfId="0" applyNumberFormat="1" applyFont="1" applyFill="1" applyBorder="1"/>
    <xf numFmtId="166" fontId="66" fillId="3" borderId="12" xfId="0" applyNumberFormat="1" applyFont="1" applyFill="1" applyBorder="1" applyAlignment="1">
      <alignment horizontal="right"/>
    </xf>
    <xf numFmtId="1" fontId="66" fillId="3" borderId="12" xfId="0" applyNumberFormat="1" applyFont="1" applyFill="1" applyBorder="1"/>
    <xf numFmtId="0" fontId="66" fillId="3" borderId="6" xfId="0" applyFont="1" applyFill="1" applyBorder="1" applyAlignment="1">
      <alignment horizontal="right"/>
    </xf>
    <xf numFmtId="166" fontId="66" fillId="3" borderId="0" xfId="0" applyNumberFormat="1" applyFont="1" applyFill="1" applyBorder="1" applyAlignment="1">
      <alignment horizontal="right"/>
    </xf>
    <xf numFmtId="166" fontId="66" fillId="3" borderId="7" xfId="0" applyNumberFormat="1" applyFont="1" applyFill="1" applyBorder="1" applyAlignment="1">
      <alignment horizontal="right"/>
    </xf>
    <xf numFmtId="2" fontId="66" fillId="3" borderId="7" xfId="0" applyNumberFormat="1" applyFont="1" applyFill="1" applyBorder="1" applyAlignment="1">
      <alignment horizontal="right"/>
    </xf>
    <xf numFmtId="2" fontId="66" fillId="3" borderId="2" xfId="0" applyNumberFormat="1" applyFont="1" applyFill="1" applyBorder="1" applyAlignment="1">
      <alignment horizontal="right"/>
    </xf>
    <xf numFmtId="166" fontId="66" fillId="3" borderId="9" xfId="0" applyNumberFormat="1" applyFont="1" applyFill="1" applyBorder="1" applyAlignment="1">
      <alignment horizontal="right"/>
    </xf>
    <xf numFmtId="166" fontId="66" fillId="3" borderId="11" xfId="0" applyNumberFormat="1" applyFont="1" applyFill="1" applyBorder="1" applyAlignment="1">
      <alignment horizontal="right"/>
    </xf>
    <xf numFmtId="165" fontId="66" fillId="3" borderId="11" xfId="0" applyNumberFormat="1" applyFont="1" applyFill="1" applyBorder="1" applyAlignment="1">
      <alignment horizontal="right"/>
    </xf>
    <xf numFmtId="166" fontId="66" fillId="3" borderId="14" xfId="0" applyNumberFormat="1" applyFont="1" applyFill="1" applyBorder="1" applyAlignment="1">
      <alignment horizontal="right"/>
    </xf>
    <xf numFmtId="1" fontId="66" fillId="3" borderId="10" xfId="0" applyNumberFormat="1" applyFont="1" applyFill="1" applyBorder="1"/>
    <xf numFmtId="2" fontId="66" fillId="3" borderId="17" xfId="0" applyNumberFormat="1" applyFont="1" applyFill="1" applyBorder="1" applyAlignment="1">
      <alignment horizontal="right"/>
    </xf>
    <xf numFmtId="165" fontId="66" fillId="3" borderId="5" xfId="0" applyNumberFormat="1" applyFont="1" applyFill="1" applyBorder="1" applyAlignment="1">
      <alignment horizontal="right"/>
    </xf>
    <xf numFmtId="0" fontId="2" fillId="5" borderId="3" xfId="0" applyFont="1" applyFill="1" applyBorder="1" applyAlignment="1">
      <alignment horizontal="right"/>
    </xf>
    <xf numFmtId="0" fontId="29" fillId="5" borderId="4" xfId="0" applyFont="1" applyFill="1" applyBorder="1" applyAlignment="1">
      <alignment horizontal="center" wrapText="1"/>
    </xf>
    <xf numFmtId="0" fontId="54" fillId="3" borderId="0" xfId="0" applyFont="1" applyFill="1" applyAlignment="1">
      <alignment horizontal="center"/>
    </xf>
    <xf numFmtId="0" fontId="26" fillId="3" borderId="6" xfId="0" applyFont="1" applyFill="1" applyBorder="1"/>
    <xf numFmtId="0" fontId="23" fillId="5" borderId="11" xfId="0" quotePrefix="1" applyFont="1" applyFill="1" applyBorder="1" applyAlignment="1">
      <alignment horizontal="right" vertical="top"/>
    </xf>
    <xf numFmtId="0" fontId="68" fillId="3" borderId="2" xfId="0" applyFont="1" applyFill="1" applyBorder="1"/>
    <xf numFmtId="164" fontId="3" fillId="3" borderId="0" xfId="0" applyNumberFormat="1" applyFont="1" applyFill="1" applyAlignment="1">
      <alignment horizontal="right"/>
    </xf>
    <xf numFmtId="164" fontId="3" fillId="3" borderId="0" xfId="0" applyNumberFormat="1" applyFont="1" applyFill="1" applyBorder="1" applyAlignment="1">
      <alignment horizontal="right"/>
    </xf>
    <xf numFmtId="164" fontId="1" fillId="3" borderId="0" xfId="0" applyNumberFormat="1" applyFont="1" applyFill="1" applyBorder="1" applyAlignment="1">
      <alignment horizontal="right"/>
    </xf>
    <xf numFmtId="164" fontId="0" fillId="4" borderId="14" xfId="0" applyNumberFormat="1" applyFill="1" applyBorder="1" applyAlignment="1">
      <alignment horizontal="right"/>
    </xf>
    <xf numFmtId="164" fontId="0" fillId="4" borderId="0" xfId="0" applyNumberFormat="1" applyFill="1" applyAlignment="1">
      <alignment horizontal="right"/>
    </xf>
    <xf numFmtId="2" fontId="0" fillId="5" borderId="1" xfId="0" applyNumberFormat="1" applyFill="1" applyBorder="1" applyAlignment="1">
      <alignment horizontal="right"/>
    </xf>
    <xf numFmtId="0" fontId="27" fillId="5" borderId="2" xfId="0" applyFont="1" applyFill="1" applyBorder="1" applyAlignment="1">
      <alignment horizontal="left" vertical="top" wrapText="1"/>
    </xf>
    <xf numFmtId="0" fontId="27" fillId="3" borderId="4" xfId="0" applyFont="1" applyFill="1" applyBorder="1" applyAlignment="1">
      <alignment horizontal="left" wrapText="1"/>
    </xf>
    <xf numFmtId="0" fontId="27" fillId="3" borderId="4" xfId="0" applyFont="1" applyFill="1" applyBorder="1" applyAlignment="1">
      <alignment horizontal="center" wrapText="1"/>
    </xf>
    <xf numFmtId="0" fontId="47" fillId="3" borderId="0" xfId="0" applyFont="1" applyFill="1" applyAlignment="1">
      <alignment horizontal="left"/>
    </xf>
    <xf numFmtId="0" fontId="47" fillId="3" borderId="0" xfId="0" applyFont="1" applyFill="1" applyAlignment="1">
      <alignment horizontal="right"/>
    </xf>
    <xf numFmtId="0" fontId="0" fillId="3" borderId="13" xfId="0" applyFill="1" applyBorder="1" applyAlignment="1">
      <alignment horizontal="center"/>
    </xf>
    <xf numFmtId="0" fontId="0" fillId="3" borderId="2" xfId="0" applyFill="1" applyBorder="1" applyAlignment="1">
      <alignment horizontal="center"/>
    </xf>
    <xf numFmtId="164" fontId="47" fillId="3" borderId="0" xfId="0" applyNumberFormat="1" applyFont="1" applyFill="1" applyAlignment="1">
      <alignment horizontal="right"/>
    </xf>
    <xf numFmtId="164" fontId="47" fillId="0" borderId="0" xfId="0" applyNumberFormat="1" applyFont="1" applyAlignment="1">
      <alignment horizontal="right"/>
    </xf>
    <xf numFmtId="2" fontId="12" fillId="3" borderId="14" xfId="0" applyNumberFormat="1" applyFont="1" applyFill="1" applyBorder="1" applyAlignment="1">
      <alignment horizontal="right"/>
    </xf>
    <xf numFmtId="1" fontId="12" fillId="3" borderId="0" xfId="0" applyNumberFormat="1" applyFont="1" applyFill="1" applyAlignment="1">
      <alignment horizontal="right"/>
    </xf>
    <xf numFmtId="0" fontId="0" fillId="3" borderId="14" xfId="0" applyFill="1" applyBorder="1" applyAlignment="1">
      <alignment horizontal="right"/>
    </xf>
    <xf numFmtId="0" fontId="0" fillId="3" borderId="13" xfId="0" applyFill="1" applyBorder="1" applyAlignment="1">
      <alignment horizontal="right"/>
    </xf>
    <xf numFmtId="0" fontId="0" fillId="3" borderId="2" xfId="0" applyFill="1" applyBorder="1" applyAlignment="1">
      <alignment horizontal="right"/>
    </xf>
    <xf numFmtId="2" fontId="0" fillId="3" borderId="6" xfId="0" applyNumberFormat="1" applyFill="1" applyBorder="1" applyAlignment="1">
      <alignment horizontal="right"/>
    </xf>
    <xf numFmtId="1" fontId="0" fillId="3" borderId="10" xfId="0" applyNumberFormat="1" applyFill="1" applyBorder="1" applyAlignment="1">
      <alignment horizontal="right"/>
    </xf>
    <xf numFmtId="0" fontId="1" fillId="3" borderId="5" xfId="0" applyFont="1" applyFill="1" applyBorder="1" applyAlignment="1">
      <alignment horizontal="right"/>
    </xf>
    <xf numFmtId="0" fontId="1" fillId="3" borderId="10" xfId="0" applyFont="1" applyFill="1" applyBorder="1" applyAlignment="1">
      <alignment horizontal="right"/>
    </xf>
    <xf numFmtId="2" fontId="3" fillId="3" borderId="0" xfId="0" applyNumberFormat="1" applyFont="1" applyFill="1" applyBorder="1" applyAlignment="1">
      <alignment horizontal="right"/>
    </xf>
    <xf numFmtId="0" fontId="71" fillId="3" borderId="0" xfId="0" applyFont="1" applyFill="1"/>
    <xf numFmtId="0" fontId="50" fillId="10" borderId="0" xfId="0" applyFont="1" applyFill="1" applyAlignment="1">
      <alignment horizontal="left"/>
    </xf>
    <xf numFmtId="0" fontId="0" fillId="10" borderId="0" xfId="0" applyFill="1" applyAlignment="1">
      <alignment horizontal="right"/>
    </xf>
    <xf numFmtId="0" fontId="0" fillId="10" borderId="0" xfId="0" applyFill="1"/>
    <xf numFmtId="0" fontId="2" fillId="10" borderId="4" xfId="0" applyFont="1" applyFill="1" applyBorder="1" applyAlignment="1">
      <alignment horizontal="center"/>
    </xf>
    <xf numFmtId="2" fontId="2" fillId="10" borderId="4" xfId="0" applyNumberFormat="1" applyFont="1" applyFill="1" applyBorder="1" applyAlignment="1">
      <alignment horizontal="center"/>
    </xf>
    <xf numFmtId="0" fontId="53" fillId="10" borderId="0" xfId="0" applyFont="1" applyFill="1" applyAlignment="1">
      <alignment horizontal="left"/>
    </xf>
    <xf numFmtId="164" fontId="0" fillId="10" borderId="0" xfId="0" applyNumberFormat="1" applyFill="1" applyAlignment="1">
      <alignment horizontal="right"/>
    </xf>
    <xf numFmtId="164" fontId="0" fillId="10" borderId="0" xfId="0" applyNumberFormat="1" applyFill="1" applyBorder="1" applyAlignment="1">
      <alignment horizontal="right"/>
    </xf>
    <xf numFmtId="1" fontId="50" fillId="10" borderId="0" xfId="0" applyNumberFormat="1" applyFont="1" applyFill="1" applyAlignment="1">
      <alignment horizontal="left"/>
    </xf>
    <xf numFmtId="2" fontId="1" fillId="10" borderId="0" xfId="0" applyNumberFormat="1" applyFont="1" applyFill="1" applyAlignment="1"/>
    <xf numFmtId="0" fontId="3" fillId="9" borderId="0" xfId="0" applyFont="1" applyFill="1"/>
    <xf numFmtId="0" fontId="2" fillId="5" borderId="3" xfId="0" applyFont="1" applyFill="1" applyBorder="1" applyAlignment="1">
      <alignment horizontal="right"/>
    </xf>
    <xf numFmtId="2" fontId="43" fillId="3" borderId="15" xfId="0" applyNumberFormat="1" applyFont="1" applyFill="1" applyBorder="1" applyAlignment="1">
      <alignment horizontal="center"/>
    </xf>
    <xf numFmtId="2" fontId="43" fillId="3" borderId="21" xfId="0" applyNumberFormat="1" applyFont="1" applyFill="1" applyBorder="1" applyAlignment="1">
      <alignment horizontal="center"/>
    </xf>
    <xf numFmtId="164" fontId="43" fillId="3" borderId="16" xfId="0" applyNumberFormat="1" applyFont="1" applyFill="1" applyBorder="1" applyAlignment="1">
      <alignment horizontal="center"/>
    </xf>
    <xf numFmtId="164" fontId="43" fillId="3" borderId="18" xfId="0" applyNumberFormat="1" applyFont="1" applyFill="1" applyBorder="1" applyAlignment="1">
      <alignment horizontal="center"/>
    </xf>
    <xf numFmtId="2" fontId="43" fillId="3" borderId="16" xfId="0" applyNumberFormat="1" applyFont="1" applyFill="1" applyBorder="1" applyAlignment="1">
      <alignment horizontal="center"/>
    </xf>
    <xf numFmtId="2" fontId="43" fillId="3" borderId="18" xfId="0" applyNumberFormat="1" applyFont="1" applyFill="1" applyBorder="1" applyAlignment="1">
      <alignment horizontal="center"/>
    </xf>
    <xf numFmtId="2" fontId="51" fillId="0" borderId="4" xfId="0" applyNumberFormat="1" applyFont="1" applyFill="1" applyBorder="1" applyAlignment="1">
      <alignment horizontal="center"/>
    </xf>
    <xf numFmtId="2" fontId="0" fillId="9" borderId="2" xfId="0" applyNumberFormat="1" applyFill="1" applyBorder="1" applyAlignment="1">
      <alignment horizontal="right"/>
    </xf>
    <xf numFmtId="2" fontId="0" fillId="9" borderId="9" xfId="0" applyNumberFormat="1" applyFill="1" applyBorder="1" applyAlignment="1">
      <alignment horizontal="right"/>
    </xf>
    <xf numFmtId="0" fontId="0" fillId="9" borderId="11" xfId="0" applyFill="1" applyBorder="1" applyAlignment="1">
      <alignment horizontal="right"/>
    </xf>
    <xf numFmtId="0" fontId="14" fillId="0" borderId="9" xfId="0" applyFont="1" applyFill="1" applyBorder="1"/>
    <xf numFmtId="0" fontId="26" fillId="0" borderId="0" xfId="0" applyFont="1" applyFill="1"/>
    <xf numFmtId="0" fontId="54" fillId="0" borderId="0" xfId="0" applyFont="1" applyFill="1"/>
    <xf numFmtId="0" fontId="2" fillId="5" borderId="8" xfId="0" applyFont="1" applyFill="1" applyBorder="1" applyAlignment="1">
      <alignment horizontal="right"/>
    </xf>
    <xf numFmtId="0" fontId="2" fillId="5" borderId="13" xfId="0" applyFont="1" applyFill="1" applyBorder="1" applyAlignment="1">
      <alignment horizontal="center"/>
    </xf>
    <xf numFmtId="0" fontId="2" fillId="5" borderId="14" xfId="0" applyFont="1" applyFill="1" applyBorder="1" applyAlignment="1">
      <alignment horizontal="center"/>
    </xf>
    <xf numFmtId="2" fontId="12" fillId="4" borderId="13" xfId="0" applyNumberFormat="1" applyFont="1" applyFill="1" applyBorder="1" applyAlignment="1">
      <alignment horizontal="right"/>
    </xf>
    <xf numFmtId="2" fontId="12" fillId="4" borderId="6" xfId="0" applyNumberFormat="1" applyFont="1" applyFill="1" applyBorder="1" applyAlignment="1">
      <alignment horizontal="right"/>
    </xf>
    <xf numFmtId="1" fontId="12" fillId="4" borderId="2" xfId="0" applyNumberFormat="1" applyFont="1" applyFill="1" applyBorder="1" applyAlignment="1">
      <alignment horizontal="right"/>
    </xf>
    <xf numFmtId="2" fontId="1" fillId="10" borderId="9" xfId="0" applyNumberFormat="1" applyFont="1" applyFill="1" applyBorder="1" applyAlignment="1">
      <alignment horizontal="right"/>
    </xf>
    <xf numFmtId="0" fontId="21" fillId="3" borderId="6" xfId="0" applyFont="1" applyFill="1" applyBorder="1" applyAlignment="1">
      <alignment horizontal="right"/>
    </xf>
    <xf numFmtId="1" fontId="76" fillId="10" borderId="0" xfId="0" applyNumberFormat="1" applyFont="1" applyFill="1" applyBorder="1" applyAlignment="1">
      <alignment horizontal="center"/>
    </xf>
    <xf numFmtId="0" fontId="2" fillId="3" borderId="0" xfId="0" applyFont="1" applyFill="1" applyAlignment="1">
      <alignment horizontal="left"/>
    </xf>
    <xf numFmtId="164" fontId="54" fillId="10" borderId="0" xfId="0" applyNumberFormat="1" applyFont="1" applyFill="1" applyBorder="1" applyAlignment="1">
      <alignment horizontal="center"/>
    </xf>
    <xf numFmtId="1" fontId="46" fillId="0" borderId="9" xfId="0" applyNumberFormat="1" applyFont="1" applyFill="1" applyBorder="1" applyAlignment="1">
      <alignment horizontal="center"/>
    </xf>
    <xf numFmtId="1" fontId="47" fillId="4" borderId="9" xfId="0" applyNumberFormat="1" applyFont="1" applyFill="1" applyBorder="1" applyAlignment="1">
      <alignment horizontal="center"/>
    </xf>
    <xf numFmtId="0" fontId="1" fillId="9" borderId="0" xfId="0" applyFont="1" applyFill="1" applyAlignment="1"/>
    <xf numFmtId="1" fontId="47" fillId="4" borderId="8" xfId="0" applyNumberFormat="1" applyFont="1" applyFill="1" applyBorder="1" applyAlignment="1">
      <alignment horizontal="center"/>
    </xf>
    <xf numFmtId="1" fontId="47" fillId="4" borderId="3" xfId="0" applyNumberFormat="1" applyFont="1" applyFill="1" applyBorder="1" applyAlignment="1">
      <alignment horizontal="center"/>
    </xf>
    <xf numFmtId="0" fontId="14" fillId="3" borderId="0" xfId="0" applyFont="1" applyFill="1" applyBorder="1" applyAlignment="1">
      <alignment vertical="center"/>
    </xf>
    <xf numFmtId="0" fontId="2" fillId="3"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vertical="center"/>
    </xf>
    <xf numFmtId="0" fontId="0" fillId="3" borderId="0" xfId="0" applyFill="1" applyAlignment="1">
      <alignment vertical="center"/>
    </xf>
    <xf numFmtId="0" fontId="69" fillId="3" borderId="0" xfId="0" applyFont="1" applyFill="1" applyAlignment="1">
      <alignment vertical="center"/>
    </xf>
    <xf numFmtId="0" fontId="44" fillId="3" borderId="0" xfId="0" applyFont="1" applyFill="1" applyAlignment="1">
      <alignment vertical="center"/>
    </xf>
    <xf numFmtId="0" fontId="45" fillId="3" borderId="0" xfId="0" applyFont="1" applyFill="1" applyAlignment="1">
      <alignment vertical="center"/>
    </xf>
    <xf numFmtId="0" fontId="1" fillId="3" borderId="0" xfId="0" applyFont="1" applyFill="1" applyBorder="1" applyAlignment="1">
      <alignment horizontal="left" vertical="center"/>
    </xf>
    <xf numFmtId="0" fontId="21" fillId="3" borderId="0" xfId="0" applyFont="1" applyFill="1" applyBorder="1" applyAlignment="1">
      <alignment horizontal="right"/>
    </xf>
    <xf numFmtId="0" fontId="2" fillId="5" borderId="12" xfId="0" applyFont="1" applyFill="1" applyBorder="1" applyAlignment="1">
      <alignment horizontal="center"/>
    </xf>
    <xf numFmtId="0" fontId="0" fillId="5" borderId="13" xfId="0" applyFill="1" applyBorder="1" applyAlignment="1">
      <alignment horizontal="center"/>
    </xf>
    <xf numFmtId="0" fontId="2" fillId="5" borderId="14" xfId="0" applyFont="1" applyFill="1" applyBorder="1" applyAlignment="1">
      <alignment horizontal="right"/>
    </xf>
    <xf numFmtId="0" fontId="2" fillId="5" borderId="3" xfId="0" applyFont="1" applyFill="1" applyBorder="1" applyAlignment="1">
      <alignment horizontal="right"/>
    </xf>
    <xf numFmtId="0" fontId="8" fillId="3" borderId="1" xfId="0" applyFont="1" applyFill="1" applyBorder="1" applyAlignment="1">
      <alignment horizontal="right" wrapText="1"/>
    </xf>
    <xf numFmtId="166" fontId="40" fillId="4" borderId="4" xfId="0" applyNumberFormat="1" applyFont="1" applyFill="1" applyBorder="1" applyAlignment="1">
      <alignment horizontal="center"/>
    </xf>
    <xf numFmtId="0" fontId="53" fillId="4" borderId="0" xfId="0" applyFont="1" applyFill="1"/>
    <xf numFmtId="0" fontId="0" fillId="4" borderId="0" xfId="0" applyFill="1"/>
    <xf numFmtId="0" fontId="78" fillId="3" borderId="0" xfId="0" applyFont="1" applyFill="1"/>
    <xf numFmtId="2" fontId="26" fillId="5" borderId="4" xfId="0" applyNumberFormat="1" applyFont="1" applyFill="1" applyBorder="1" applyAlignment="1">
      <alignment horizontal="center" wrapText="1"/>
    </xf>
    <xf numFmtId="2" fontId="37" fillId="3" borderId="4" xfId="0" applyNumberFormat="1" applyFont="1" applyFill="1" applyBorder="1" applyAlignment="1">
      <alignment horizontal="center"/>
    </xf>
    <xf numFmtId="164" fontId="37" fillId="3" borderId="4" xfId="0" applyNumberFormat="1" applyFont="1" applyFill="1" applyBorder="1" applyAlignment="1">
      <alignment horizontal="center"/>
    </xf>
    <xf numFmtId="2" fontId="36" fillId="0" borderId="4" xfId="0" applyNumberFormat="1" applyFont="1" applyFill="1" applyBorder="1" applyAlignment="1">
      <alignment horizontal="center"/>
    </xf>
    <xf numFmtId="164" fontId="36" fillId="0" borderId="4" xfId="0" applyNumberFormat="1" applyFont="1" applyFill="1" applyBorder="1" applyAlignment="1">
      <alignment horizontal="center"/>
    </xf>
    <xf numFmtId="0" fontId="1" fillId="3" borderId="0" xfId="0" applyFont="1" applyFill="1" applyBorder="1" applyAlignment="1">
      <alignment horizontal="left"/>
    </xf>
    <xf numFmtId="0" fontId="35" fillId="10" borderId="0" xfId="0" applyFont="1" applyFill="1" applyBorder="1" applyAlignment="1">
      <alignment horizontal="right"/>
    </xf>
    <xf numFmtId="164" fontId="3" fillId="3" borderId="12" xfId="0" applyNumberFormat="1" applyFont="1" applyFill="1" applyBorder="1"/>
    <xf numFmtId="2" fontId="53" fillId="4" borderId="6" xfId="0" applyNumberFormat="1" applyFont="1" applyFill="1" applyBorder="1"/>
    <xf numFmtId="164" fontId="3" fillId="3" borderId="7" xfId="0" applyNumberFormat="1" applyFont="1" applyFill="1" applyBorder="1"/>
    <xf numFmtId="0" fontId="3" fillId="3" borderId="12" xfId="0" applyFont="1" applyFill="1" applyBorder="1" applyAlignment="1">
      <alignment horizontal="right"/>
    </xf>
    <xf numFmtId="0" fontId="3" fillId="3" borderId="7" xfId="0" applyFont="1" applyFill="1" applyBorder="1" applyAlignment="1">
      <alignment horizontal="right"/>
    </xf>
    <xf numFmtId="0" fontId="1" fillId="3" borderId="7" xfId="0" applyFont="1" applyFill="1" applyBorder="1" applyAlignment="1">
      <alignment horizontal="right"/>
    </xf>
    <xf numFmtId="0" fontId="0" fillId="3" borderId="2" xfId="0" applyFill="1" applyBorder="1"/>
    <xf numFmtId="0" fontId="1" fillId="3" borderId="11" xfId="0" applyFont="1" applyFill="1" applyBorder="1" applyAlignment="1">
      <alignment horizontal="right"/>
    </xf>
    <xf numFmtId="0" fontId="0" fillId="3" borderId="13" xfId="0" applyFill="1" applyBorder="1"/>
    <xf numFmtId="0" fontId="0" fillId="3" borderId="14" xfId="0" applyFill="1" applyBorder="1"/>
    <xf numFmtId="0" fontId="2" fillId="3" borderId="7" xfId="0" applyFont="1" applyFill="1" applyBorder="1" applyAlignment="1">
      <alignment horizontal="right"/>
    </xf>
    <xf numFmtId="0" fontId="0" fillId="3" borderId="9" xfId="0" applyFill="1" applyBorder="1"/>
    <xf numFmtId="0" fontId="0" fillId="3" borderId="6" xfId="0" applyFill="1" applyBorder="1" applyAlignment="1">
      <alignment horizontal="center"/>
    </xf>
    <xf numFmtId="0" fontId="0" fillId="3" borderId="7" xfId="0" applyFill="1" applyBorder="1" applyAlignment="1">
      <alignment horizontal="right"/>
    </xf>
    <xf numFmtId="0" fontId="0" fillId="11" borderId="0" xfId="0" applyFill="1"/>
    <xf numFmtId="0" fontId="8" fillId="3" borderId="1" xfId="0" applyFont="1" applyFill="1" applyBorder="1" applyAlignment="1">
      <alignment horizontal="right" wrapText="1"/>
    </xf>
    <xf numFmtId="0" fontId="8" fillId="3" borderId="3" xfId="0" applyFont="1" applyFill="1" applyBorder="1" applyAlignment="1">
      <alignment horizontal="right"/>
    </xf>
    <xf numFmtId="0" fontId="80" fillId="4" borderId="3" xfId="0" applyFont="1" applyFill="1" applyBorder="1" applyAlignment="1">
      <alignment horizontal="center" vertical="center" wrapText="1"/>
    </xf>
    <xf numFmtId="0" fontId="8" fillId="3" borderId="1" xfId="0" applyFont="1" applyFill="1" applyBorder="1" applyAlignment="1"/>
    <xf numFmtId="1" fontId="1" fillId="4" borderId="4" xfId="0" applyNumberFormat="1" applyFont="1" applyFill="1" applyBorder="1" applyAlignment="1">
      <alignment horizontal="center"/>
    </xf>
    <xf numFmtId="0" fontId="1" fillId="3" borderId="2" xfId="0" applyFont="1" applyFill="1" applyBorder="1" applyAlignment="1">
      <alignment horizontal="right" wrapText="1"/>
    </xf>
    <xf numFmtId="0" fontId="1" fillId="3" borderId="1" xfId="0" applyFont="1" applyFill="1" applyBorder="1" applyAlignment="1">
      <alignment horizontal="right" wrapText="1"/>
    </xf>
    <xf numFmtId="0" fontId="17" fillId="3" borderId="1" xfId="0" quotePrefix="1" applyFont="1" applyFill="1" applyBorder="1" applyAlignment="1">
      <alignment horizontal="right"/>
    </xf>
    <xf numFmtId="2" fontId="40" fillId="4" borderId="4" xfId="0" applyNumberFormat="1" applyFont="1" applyFill="1" applyBorder="1" applyAlignment="1">
      <alignment horizontal="center"/>
    </xf>
    <xf numFmtId="164" fontId="40" fillId="4" borderId="4" xfId="0" applyNumberFormat="1" applyFont="1" applyFill="1" applyBorder="1" applyAlignment="1">
      <alignment horizontal="center"/>
    </xf>
    <xf numFmtId="0" fontId="8" fillId="0" borderId="0" xfId="0" applyFont="1"/>
    <xf numFmtId="0" fontId="18" fillId="3" borderId="2" xfId="0" quotePrefix="1" applyFont="1" applyFill="1" applyBorder="1" applyAlignment="1">
      <alignment horizontal="right"/>
    </xf>
    <xf numFmtId="1" fontId="80" fillId="4" borderId="5" xfId="0" applyNumberFormat="1" applyFont="1" applyFill="1" applyBorder="1" applyAlignment="1">
      <alignment horizontal="center" vertical="center" wrapText="1"/>
    </xf>
    <xf numFmtId="0" fontId="8" fillId="3" borderId="0" xfId="0" applyFont="1" applyFill="1" applyAlignment="1">
      <alignment vertical="top"/>
    </xf>
    <xf numFmtId="1" fontId="80" fillId="4" borderId="4" xfId="0" applyNumberFormat="1" applyFont="1" applyFill="1" applyBorder="1" applyAlignment="1">
      <alignment horizontal="center" wrapText="1"/>
    </xf>
    <xf numFmtId="0" fontId="8" fillId="3" borderId="8" xfId="0" applyFont="1" applyFill="1" applyBorder="1"/>
    <xf numFmtId="0" fontId="8" fillId="3" borderId="3" xfId="0" applyFont="1" applyFill="1" applyBorder="1"/>
    <xf numFmtId="0" fontId="8" fillId="3" borderId="7" xfId="0" applyFont="1" applyFill="1" applyBorder="1"/>
    <xf numFmtId="164" fontId="80" fillId="4" borderId="5" xfId="0" applyNumberFormat="1" applyFont="1" applyFill="1" applyBorder="1" applyAlignment="1">
      <alignment horizontal="center"/>
    </xf>
    <xf numFmtId="164" fontId="80" fillId="4" borderId="4" xfId="0" applyNumberFormat="1" applyFont="1" applyFill="1" applyBorder="1" applyAlignment="1">
      <alignment horizontal="center"/>
    </xf>
    <xf numFmtId="164" fontId="80" fillId="4" borderId="3" xfId="0" applyNumberFormat="1" applyFont="1" applyFill="1" applyBorder="1" applyAlignment="1">
      <alignment horizontal="center"/>
    </xf>
    <xf numFmtId="164" fontId="80" fillId="4" borderId="4" xfId="0" applyNumberFormat="1" applyFont="1" applyFill="1" applyBorder="1" applyAlignment="1">
      <alignment horizontal="left"/>
    </xf>
    <xf numFmtId="164" fontId="80" fillId="4" borderId="3" xfId="0" applyNumberFormat="1" applyFont="1" applyFill="1" applyBorder="1" applyAlignment="1">
      <alignment horizontal="left"/>
    </xf>
    <xf numFmtId="164" fontId="80" fillId="4" borderId="4" xfId="0" applyNumberFormat="1" applyFont="1" applyFill="1" applyBorder="1"/>
    <xf numFmtId="0" fontId="31" fillId="3" borderId="0" xfId="0" applyFont="1" applyFill="1"/>
    <xf numFmtId="164" fontId="80" fillId="4" borderId="4" xfId="0" applyNumberFormat="1" applyFont="1" applyFill="1" applyBorder="1" applyAlignment="1">
      <alignment horizontal="right"/>
    </xf>
    <xf numFmtId="164" fontId="80" fillId="4" borderId="3" xfId="0" applyNumberFormat="1" applyFont="1" applyFill="1" applyBorder="1" applyAlignment="1">
      <alignment horizontal="right"/>
    </xf>
    <xf numFmtId="0" fontId="31" fillId="0" borderId="0" xfId="0" applyFont="1"/>
    <xf numFmtId="0" fontId="1" fillId="3" borderId="0" xfId="0" applyFont="1" applyFill="1" applyBorder="1" applyAlignment="1">
      <alignment horizontal="right" wrapText="1"/>
    </xf>
    <xf numFmtId="0" fontId="10" fillId="3" borderId="0" xfId="0" quotePrefix="1" applyFont="1" applyFill="1" applyBorder="1" applyAlignment="1">
      <alignment horizontal="right" vertical="center" wrapText="1"/>
    </xf>
    <xf numFmtId="2" fontId="80" fillId="4" borderId="3" xfId="0" applyNumberFormat="1" applyFont="1" applyFill="1" applyBorder="1" applyAlignment="1">
      <alignment horizontal="center"/>
    </xf>
    <xf numFmtId="2" fontId="80" fillId="4" borderId="4" xfId="0" applyNumberFormat="1" applyFont="1" applyFill="1" applyBorder="1" applyAlignment="1">
      <alignment horizontal="center"/>
    </xf>
    <xf numFmtId="2" fontId="80" fillId="4" borderId="4" xfId="0" applyNumberFormat="1" applyFont="1" applyFill="1" applyBorder="1" applyAlignment="1">
      <alignment horizontal="left"/>
    </xf>
    <xf numFmtId="2" fontId="80" fillId="4" borderId="3" xfId="0" applyNumberFormat="1" applyFont="1" applyFill="1" applyBorder="1" applyAlignment="1">
      <alignment horizontal="left"/>
    </xf>
    <xf numFmtId="2" fontId="80" fillId="4" borderId="4" xfId="0" applyNumberFormat="1" applyFont="1" applyFill="1" applyBorder="1" applyAlignment="1">
      <alignment horizontal="right"/>
    </xf>
    <xf numFmtId="2" fontId="80" fillId="4" borderId="3" xfId="0" applyNumberFormat="1" applyFont="1" applyFill="1" applyBorder="1" applyAlignment="1">
      <alignment horizontal="right"/>
    </xf>
    <xf numFmtId="0" fontId="1" fillId="3" borderId="8" xfId="0" applyFont="1" applyFill="1" applyBorder="1" applyAlignment="1">
      <alignment horizontal="right"/>
    </xf>
    <xf numFmtId="0" fontId="46" fillId="0" borderId="13" xfId="0" applyNumberFormat="1" applyFont="1" applyFill="1" applyBorder="1" applyAlignment="1">
      <alignment horizontal="center"/>
    </xf>
    <xf numFmtId="0" fontId="46" fillId="0" borderId="14" xfId="0" applyNumberFormat="1" applyFont="1" applyFill="1" applyBorder="1" applyAlignment="1">
      <alignment horizontal="center"/>
    </xf>
    <xf numFmtId="0" fontId="48" fillId="0" borderId="1" xfId="0" applyNumberFormat="1" applyFont="1" applyFill="1" applyBorder="1" applyAlignment="1">
      <alignment horizontal="center" vertical="top"/>
    </xf>
    <xf numFmtId="0" fontId="48" fillId="0" borderId="14" xfId="0" applyNumberFormat="1" applyFont="1" applyFill="1" applyBorder="1" applyAlignment="1">
      <alignment horizontal="center" vertical="top"/>
    </xf>
    <xf numFmtId="0" fontId="47" fillId="4" borderId="13" xfId="0" applyNumberFormat="1" applyFont="1" applyFill="1" applyBorder="1" applyAlignment="1">
      <alignment horizontal="center"/>
    </xf>
    <xf numFmtId="0" fontId="47" fillId="4" borderId="14" xfId="0" applyNumberFormat="1" applyFont="1" applyFill="1" applyBorder="1" applyAlignment="1">
      <alignment horizontal="center"/>
    </xf>
    <xf numFmtId="0" fontId="51" fillId="4" borderId="1" xfId="0" applyNumberFormat="1" applyFont="1" applyFill="1" applyBorder="1" applyAlignment="1">
      <alignment horizontal="center" vertical="top"/>
    </xf>
    <xf numFmtId="0" fontId="51" fillId="4" borderId="14" xfId="0" applyNumberFormat="1" applyFont="1" applyFill="1" applyBorder="1" applyAlignment="1">
      <alignment horizontal="center" vertical="top"/>
    </xf>
    <xf numFmtId="0" fontId="47" fillId="0" borderId="13" xfId="0" applyNumberFormat="1" applyFont="1" applyFill="1" applyBorder="1" applyAlignment="1">
      <alignment horizontal="center"/>
    </xf>
    <xf numFmtId="0" fontId="51" fillId="0" borderId="1" xfId="0" applyNumberFormat="1" applyFont="1" applyFill="1" applyBorder="1" applyAlignment="1">
      <alignment horizontal="center" vertical="top"/>
    </xf>
    <xf numFmtId="0" fontId="26" fillId="3" borderId="0" xfId="0" applyFont="1" applyFill="1" applyAlignment="1">
      <alignment horizontal="center" wrapText="1"/>
    </xf>
    <xf numFmtId="0" fontId="1" fillId="3" borderId="0" xfId="0" applyFont="1" applyFill="1" applyAlignment="1">
      <alignment vertical="top"/>
    </xf>
    <xf numFmtId="0" fontId="1" fillId="3" borderId="0" xfId="0" applyFont="1" applyFill="1" applyBorder="1" applyAlignment="1">
      <alignment vertical="top"/>
    </xf>
    <xf numFmtId="0" fontId="1" fillId="3" borderId="6" xfId="0" applyFont="1" applyFill="1" applyBorder="1" applyAlignment="1">
      <alignment vertical="top"/>
    </xf>
    <xf numFmtId="0" fontId="1" fillId="3" borderId="0" xfId="0" applyFont="1" applyFill="1" applyAlignment="1">
      <alignment horizontal="right" vertical="center"/>
    </xf>
    <xf numFmtId="2" fontId="12" fillId="4" borderId="7" xfId="0" applyNumberFormat="1" applyFont="1" applyFill="1" applyBorder="1" applyAlignment="1"/>
    <xf numFmtId="0" fontId="46" fillId="0" borderId="7" xfId="0" applyFont="1" applyFill="1" applyBorder="1" applyAlignment="1">
      <alignment horizontal="left"/>
    </xf>
    <xf numFmtId="0" fontId="74" fillId="3" borderId="12" xfId="0" applyFont="1" applyFill="1" applyBorder="1" applyAlignment="1">
      <alignment horizontal="right"/>
    </xf>
    <xf numFmtId="0" fontId="14" fillId="3" borderId="7" xfId="0" applyFont="1" applyFill="1" applyBorder="1" applyAlignment="1">
      <alignment horizontal="right"/>
    </xf>
    <xf numFmtId="164" fontId="39" fillId="3" borderId="0" xfId="0" applyNumberFormat="1" applyFont="1" applyFill="1" applyBorder="1" applyAlignment="1">
      <alignment horizontal="right"/>
    </xf>
    <xf numFmtId="0" fontId="21" fillId="3" borderId="0" xfId="0" applyFont="1" applyFill="1" applyBorder="1"/>
    <xf numFmtId="2" fontId="21" fillId="3" borderId="0" xfId="0" applyNumberFormat="1" applyFont="1" applyFill="1" applyBorder="1" applyAlignment="1">
      <alignment horizontal="right"/>
    </xf>
    <xf numFmtId="1" fontId="12" fillId="4" borderId="11" xfId="0" applyNumberFormat="1" applyFont="1" applyFill="1" applyBorder="1" applyAlignment="1">
      <alignment horizontal="right"/>
    </xf>
    <xf numFmtId="0" fontId="1" fillId="3" borderId="8" xfId="0" applyFont="1" applyFill="1" applyBorder="1"/>
    <xf numFmtId="0" fontId="27" fillId="5" borderId="10" xfId="0" applyFont="1" applyFill="1" applyBorder="1" applyAlignment="1">
      <alignment horizontal="center" wrapText="1"/>
    </xf>
    <xf numFmtId="0" fontId="1" fillId="10" borderId="0" xfId="0" applyFont="1" applyFill="1" applyBorder="1" applyAlignment="1">
      <alignment horizontal="right"/>
    </xf>
    <xf numFmtId="0" fontId="1" fillId="10" borderId="13" xfId="0" applyFont="1" applyFill="1" applyBorder="1"/>
    <xf numFmtId="0" fontId="1" fillId="10" borderId="14" xfId="0" applyFont="1" applyFill="1" applyBorder="1" applyAlignment="1">
      <alignment horizontal="right"/>
    </xf>
    <xf numFmtId="1" fontId="1" fillId="10" borderId="14" xfId="0" applyNumberFormat="1" applyFont="1" applyFill="1" applyBorder="1" applyAlignment="1">
      <alignment horizontal="center"/>
    </xf>
    <xf numFmtId="1" fontId="1" fillId="10" borderId="12" xfId="0" applyNumberFormat="1" applyFont="1" applyFill="1" applyBorder="1" applyAlignment="1">
      <alignment horizontal="center"/>
    </xf>
    <xf numFmtId="0" fontId="1" fillId="10" borderId="2" xfId="0" applyFont="1" applyFill="1" applyBorder="1"/>
    <xf numFmtId="0" fontId="1" fillId="10" borderId="9" xfId="0" applyFont="1" applyFill="1" applyBorder="1" applyAlignment="1">
      <alignment horizontal="right"/>
    </xf>
    <xf numFmtId="1" fontId="1" fillId="10" borderId="9" xfId="0" applyNumberFormat="1" applyFont="1" applyFill="1" applyBorder="1" applyAlignment="1">
      <alignment horizontal="center"/>
    </xf>
    <xf numFmtId="1" fontId="1" fillId="10" borderId="11" xfId="0" applyNumberFormat="1" applyFont="1" applyFill="1" applyBorder="1" applyAlignment="1">
      <alignment horizontal="center"/>
    </xf>
    <xf numFmtId="0" fontId="1" fillId="3" borderId="9" xfId="0" applyFont="1" applyFill="1" applyBorder="1" applyAlignment="1">
      <alignment horizontal="right" vertical="center"/>
    </xf>
    <xf numFmtId="0" fontId="1" fillId="3" borderId="6" xfId="0" applyFont="1" applyFill="1" applyBorder="1"/>
    <xf numFmtId="164" fontId="11" fillId="4" borderId="7" xfId="0" applyNumberFormat="1" applyFont="1" applyFill="1" applyBorder="1" applyAlignment="1">
      <alignment horizontal="center"/>
    </xf>
    <xf numFmtId="0" fontId="1" fillId="10" borderId="0" xfId="0" applyFont="1" applyFill="1" applyBorder="1" applyAlignment="1">
      <alignment horizontal="right" wrapText="1"/>
    </xf>
    <xf numFmtId="0" fontId="17" fillId="10" borderId="0" xfId="0" quotePrefix="1" applyFont="1" applyFill="1" applyBorder="1" applyAlignment="1">
      <alignment horizontal="right"/>
    </xf>
    <xf numFmtId="0" fontId="18" fillId="10" borderId="0" xfId="0" quotePrefix="1" applyFont="1" applyFill="1" applyBorder="1" applyAlignment="1">
      <alignment horizontal="right"/>
    </xf>
    <xf numFmtId="1" fontId="80" fillId="10" borderId="0" xfId="0" applyNumberFormat="1" applyFont="1" applyFill="1" applyBorder="1" applyAlignment="1">
      <alignment horizontal="center"/>
    </xf>
    <xf numFmtId="1" fontId="80" fillId="10" borderId="0" xfId="0" applyNumberFormat="1" applyFont="1" applyFill="1" applyBorder="1" applyAlignment="1">
      <alignment horizontal="center" vertical="center" wrapText="1"/>
    </xf>
    <xf numFmtId="0" fontId="80" fillId="10" borderId="0" xfId="0" applyFont="1" applyFill="1" applyBorder="1" applyAlignment="1">
      <alignment horizontal="center" vertical="center" wrapText="1"/>
    </xf>
    <xf numFmtId="0" fontId="80" fillId="10" borderId="0" xfId="0" applyFont="1" applyFill="1" applyBorder="1" applyAlignment="1">
      <alignment horizontal="center" wrapText="1"/>
    </xf>
    <xf numFmtId="1" fontId="80" fillId="10" borderId="0" xfId="0" applyNumberFormat="1" applyFont="1" applyFill="1" applyBorder="1" applyAlignment="1">
      <alignment horizontal="center" wrapText="1"/>
    </xf>
    <xf numFmtId="0" fontId="1" fillId="10" borderId="14" xfId="0" applyFont="1" applyFill="1" applyBorder="1" applyAlignment="1">
      <alignment horizontal="right" wrapText="1"/>
    </xf>
    <xf numFmtId="1" fontId="80" fillId="10" borderId="7" xfId="0" applyNumberFormat="1" applyFont="1" applyFill="1" applyBorder="1" applyAlignment="1">
      <alignment horizontal="center"/>
    </xf>
    <xf numFmtId="1" fontId="80" fillId="10" borderId="7" xfId="0" applyNumberFormat="1" applyFont="1" applyFill="1" applyBorder="1" applyAlignment="1">
      <alignment horizontal="center" vertical="center" wrapText="1"/>
    </xf>
    <xf numFmtId="0" fontId="80" fillId="10" borderId="7" xfId="0" applyFont="1" applyFill="1" applyBorder="1" applyAlignment="1">
      <alignment horizontal="center" vertical="center" wrapText="1"/>
    </xf>
    <xf numFmtId="0" fontId="80" fillId="10" borderId="7" xfId="0" applyFont="1" applyFill="1" applyBorder="1" applyAlignment="1">
      <alignment horizontal="center" wrapText="1"/>
    </xf>
    <xf numFmtId="1" fontId="80" fillId="10" borderId="7" xfId="0" applyNumberFormat="1" applyFont="1" applyFill="1" applyBorder="1" applyAlignment="1">
      <alignment horizontal="center" wrapText="1"/>
    </xf>
    <xf numFmtId="0" fontId="8" fillId="10" borderId="2" xfId="0" applyFont="1" applyFill="1" applyBorder="1"/>
    <xf numFmtId="0" fontId="8" fillId="10" borderId="9" xfId="0" applyFont="1" applyFill="1" applyBorder="1"/>
    <xf numFmtId="0" fontId="8" fillId="10" borderId="11" xfId="0" applyFont="1" applyFill="1" applyBorder="1"/>
    <xf numFmtId="0" fontId="8" fillId="10" borderId="14" xfId="0" applyFont="1" applyFill="1" applyBorder="1" applyAlignment="1">
      <alignment horizontal="right" wrapText="1"/>
    </xf>
    <xf numFmtId="164" fontId="80" fillId="10" borderId="14" xfId="0" applyNumberFormat="1" applyFont="1" applyFill="1" applyBorder="1" applyAlignment="1">
      <alignment horizontal="left"/>
    </xf>
    <xf numFmtId="164" fontId="80" fillId="10" borderId="12" xfId="0" applyNumberFormat="1" applyFont="1" applyFill="1" applyBorder="1" applyAlignment="1">
      <alignment horizontal="left"/>
    </xf>
    <xf numFmtId="0" fontId="8" fillId="10" borderId="9" xfId="0" applyFont="1" applyFill="1" applyBorder="1" applyAlignment="1">
      <alignment horizontal="right" wrapText="1"/>
    </xf>
    <xf numFmtId="164" fontId="80" fillId="10" borderId="9" xfId="0" applyNumberFormat="1" applyFont="1" applyFill="1" applyBorder="1" applyAlignment="1">
      <alignment horizontal="right"/>
    </xf>
    <xf numFmtId="164" fontId="80" fillId="10" borderId="11" xfId="0" applyNumberFormat="1" applyFont="1" applyFill="1" applyBorder="1" applyAlignment="1">
      <alignment horizontal="right"/>
    </xf>
    <xf numFmtId="2" fontId="11" fillId="4" borderId="7" xfId="0" applyNumberFormat="1" applyFont="1" applyFill="1" applyBorder="1" applyAlignment="1">
      <alignment horizontal="center"/>
    </xf>
    <xf numFmtId="2" fontId="35" fillId="10" borderId="5" xfId="0" applyNumberFormat="1" applyFont="1" applyFill="1" applyBorder="1" applyAlignment="1">
      <alignment horizontal="center"/>
    </xf>
    <xf numFmtId="2" fontId="12" fillId="10" borderId="0" xfId="0" applyNumberFormat="1" applyFont="1" applyFill="1" applyBorder="1" applyAlignment="1">
      <alignment horizontal="right"/>
    </xf>
    <xf numFmtId="2" fontId="12" fillId="10" borderId="0" xfId="0" applyNumberFormat="1" applyFont="1" applyFill="1" applyBorder="1" applyAlignment="1">
      <alignment horizontal="center"/>
    </xf>
    <xf numFmtId="2" fontId="40" fillId="10" borderId="0" xfId="0" applyNumberFormat="1" applyFont="1" applyFill="1" applyBorder="1" applyAlignment="1">
      <alignment horizontal="center"/>
    </xf>
    <xf numFmtId="2" fontId="12" fillId="10" borderId="14" xfId="0" applyNumberFormat="1" applyFont="1" applyFill="1" applyBorder="1" applyAlignment="1">
      <alignment horizontal="left"/>
    </xf>
    <xf numFmtId="2" fontId="12" fillId="10" borderId="12" xfId="0" applyNumberFormat="1" applyFont="1" applyFill="1" applyBorder="1" applyAlignment="1">
      <alignment horizontal="left"/>
    </xf>
    <xf numFmtId="2" fontId="12" fillId="10" borderId="7" xfId="0" applyNumberFormat="1" applyFont="1" applyFill="1" applyBorder="1" applyAlignment="1">
      <alignment horizontal="right"/>
    </xf>
    <xf numFmtId="2" fontId="12" fillId="10" borderId="7" xfId="0" applyNumberFormat="1" applyFont="1" applyFill="1" applyBorder="1" applyAlignment="1">
      <alignment horizontal="center"/>
    </xf>
    <xf numFmtId="2" fontId="80" fillId="4" borderId="7" xfId="0" applyNumberFormat="1" applyFont="1" applyFill="1" applyBorder="1" applyAlignment="1">
      <alignment horizontal="center"/>
    </xf>
    <xf numFmtId="2" fontId="40" fillId="10" borderId="7" xfId="0" applyNumberFormat="1" applyFont="1" applyFill="1" applyBorder="1" applyAlignment="1">
      <alignment horizontal="center"/>
    </xf>
    <xf numFmtId="0" fontId="80" fillId="10" borderId="9" xfId="0" applyFont="1" applyFill="1" applyBorder="1" applyAlignment="1">
      <alignment horizontal="center" wrapText="1"/>
    </xf>
    <xf numFmtId="0" fontId="80" fillId="10" borderId="11" xfId="0" applyFont="1" applyFill="1" applyBorder="1" applyAlignment="1">
      <alignment horizontal="center" wrapText="1"/>
    </xf>
    <xf numFmtId="2" fontId="80" fillId="10" borderId="14" xfId="0" applyNumberFormat="1" applyFont="1" applyFill="1" applyBorder="1" applyAlignment="1">
      <alignment horizontal="left"/>
    </xf>
    <xf numFmtId="2" fontId="80" fillId="10" borderId="12" xfId="0" applyNumberFormat="1" applyFont="1" applyFill="1" applyBorder="1" applyAlignment="1">
      <alignment horizontal="left"/>
    </xf>
    <xf numFmtId="2" fontId="80" fillId="10" borderId="9" xfId="0" applyNumberFormat="1" applyFont="1" applyFill="1" applyBorder="1" applyAlignment="1">
      <alignment horizontal="right"/>
    </xf>
    <xf numFmtId="2" fontId="80" fillId="10" borderId="11" xfId="0" applyNumberFormat="1" applyFont="1" applyFill="1" applyBorder="1" applyAlignment="1">
      <alignment horizontal="right"/>
    </xf>
    <xf numFmtId="0" fontId="8" fillId="10" borderId="13" xfId="0" applyFont="1" applyFill="1" applyBorder="1" applyAlignment="1"/>
    <xf numFmtId="0" fontId="8" fillId="10" borderId="13" xfId="0" applyFont="1" applyFill="1" applyBorder="1" applyAlignment="1">
      <alignment horizontal="right"/>
    </xf>
    <xf numFmtId="2" fontId="80" fillId="4" borderId="10" xfId="0" applyNumberFormat="1" applyFont="1" applyFill="1" applyBorder="1" applyAlignment="1">
      <alignment horizontal="center"/>
    </xf>
    <xf numFmtId="2" fontId="80" fillId="4" borderId="12" xfId="0" applyNumberFormat="1" applyFont="1" applyFill="1" applyBorder="1" applyAlignment="1">
      <alignment horizontal="center"/>
    </xf>
    <xf numFmtId="164" fontId="80" fillId="10" borderId="9" xfId="0" applyNumberFormat="1" applyFont="1" applyFill="1" applyBorder="1"/>
    <xf numFmtId="164" fontId="80" fillId="10" borderId="11" xfId="0" applyNumberFormat="1" applyFont="1" applyFill="1" applyBorder="1"/>
    <xf numFmtId="164" fontId="80" fillId="4" borderId="7" xfId="0" applyNumberFormat="1" applyFont="1" applyFill="1" applyBorder="1" applyAlignment="1">
      <alignment horizontal="center"/>
    </xf>
    <xf numFmtId="2" fontId="47" fillId="4" borderId="3" xfId="0" applyNumberFormat="1" applyFont="1" applyFill="1" applyBorder="1" applyAlignment="1"/>
    <xf numFmtId="0" fontId="47" fillId="4" borderId="3" xfId="0" applyFont="1" applyFill="1" applyBorder="1"/>
    <xf numFmtId="0" fontId="55" fillId="3" borderId="0" xfId="0" applyFont="1" applyFill="1" applyBorder="1" applyAlignment="1">
      <alignment horizontal="right"/>
    </xf>
    <xf numFmtId="164" fontId="34" fillId="3" borderId="5" xfId="0" applyNumberFormat="1" applyFont="1" applyFill="1" applyBorder="1" applyAlignment="1"/>
    <xf numFmtId="2" fontId="34" fillId="3" borderId="10" xfId="0" applyNumberFormat="1" applyFont="1" applyFill="1" applyBorder="1" applyAlignment="1"/>
    <xf numFmtId="1" fontId="54" fillId="3" borderId="17" xfId="0" applyNumberFormat="1" applyFont="1" applyFill="1" applyBorder="1" applyAlignment="1">
      <alignment horizontal="right"/>
    </xf>
    <xf numFmtId="164" fontId="34" fillId="3" borderId="10" xfId="0" applyNumberFormat="1" applyFont="1" applyFill="1" applyBorder="1" applyAlignment="1">
      <alignment horizontal="right"/>
    </xf>
    <xf numFmtId="0" fontId="55" fillId="4" borderId="0" xfId="0" applyFont="1" applyFill="1" applyAlignment="1">
      <alignment horizontal="right"/>
    </xf>
    <xf numFmtId="2" fontId="54" fillId="4" borderId="0" xfId="0" applyNumberFormat="1" applyFont="1" applyFill="1" applyAlignment="1">
      <alignment horizontal="right"/>
    </xf>
    <xf numFmtId="0" fontId="54" fillId="4" borderId="0" xfId="0" applyFont="1" applyFill="1" applyAlignment="1">
      <alignment horizontal="right"/>
    </xf>
    <xf numFmtId="2" fontId="0" fillId="8" borderId="1" xfId="0" applyNumberFormat="1" applyFill="1" applyBorder="1" applyAlignment="1">
      <alignment horizontal="right"/>
    </xf>
    <xf numFmtId="0" fontId="0" fillId="8" borderId="8" xfId="0" applyFill="1" applyBorder="1"/>
    <xf numFmtId="0" fontId="1" fillId="8" borderId="3" xfId="0" applyFont="1" applyFill="1" applyBorder="1" applyAlignment="1">
      <alignment horizontal="right"/>
    </xf>
    <xf numFmtId="0" fontId="1" fillId="5" borderId="7" xfId="0" applyFont="1" applyFill="1" applyBorder="1" applyAlignment="1">
      <alignment horizontal="right"/>
    </xf>
    <xf numFmtId="164" fontId="49" fillId="3" borderId="4" xfId="0" applyNumberFormat="1" applyFont="1" applyFill="1" applyBorder="1" applyAlignment="1">
      <alignment horizontal="center"/>
    </xf>
    <xf numFmtId="2" fontId="49" fillId="3" borderId="4" xfId="0" applyNumberFormat="1" applyFont="1" applyFill="1" applyBorder="1" applyAlignment="1">
      <alignment horizontal="center"/>
    </xf>
    <xf numFmtId="1" fontId="49" fillId="3" borderId="4" xfId="0" applyNumberFormat="1" applyFont="1" applyFill="1" applyBorder="1" applyAlignment="1">
      <alignment horizontal="center"/>
    </xf>
    <xf numFmtId="0" fontId="8" fillId="3" borderId="4" xfId="0" applyFont="1" applyFill="1" applyBorder="1"/>
    <xf numFmtId="0" fontId="0" fillId="3" borderId="4" xfId="0" applyFill="1" applyBorder="1"/>
    <xf numFmtId="0" fontId="0" fillId="3" borderId="8" xfId="0" applyFill="1" applyBorder="1"/>
    <xf numFmtId="0" fontId="0" fillId="3" borderId="3" xfId="0" applyFill="1" applyBorder="1"/>
    <xf numFmtId="2" fontId="37" fillId="3" borderId="5" xfId="0" applyNumberFormat="1" applyFont="1" applyFill="1" applyBorder="1" applyAlignment="1">
      <alignment horizontal="center"/>
    </xf>
    <xf numFmtId="0" fontId="8" fillId="3" borderId="5" xfId="0" applyFont="1" applyFill="1" applyBorder="1"/>
    <xf numFmtId="0" fontId="0" fillId="3" borderId="5" xfId="0" applyFill="1" applyBorder="1"/>
    <xf numFmtId="0" fontId="0" fillId="3" borderId="11" xfId="0" applyFill="1" applyBorder="1"/>
    <xf numFmtId="0" fontId="3" fillId="5" borderId="2" xfId="0" applyFont="1" applyFill="1" applyBorder="1" applyAlignment="1">
      <alignment horizontal="left" vertical="center"/>
    </xf>
    <xf numFmtId="166" fontId="36" fillId="0" borderId="4" xfId="0" applyNumberFormat="1" applyFont="1" applyFill="1" applyBorder="1" applyAlignment="1">
      <alignment horizontal="center"/>
    </xf>
    <xf numFmtId="164" fontId="80" fillId="4" borderId="10" xfId="0" applyNumberFormat="1" applyFont="1" applyFill="1" applyBorder="1" applyAlignment="1">
      <alignment horizontal="center"/>
    </xf>
    <xf numFmtId="0" fontId="2" fillId="3" borderId="0" xfId="0" applyFont="1" applyFill="1" applyAlignment="1">
      <alignment horizontal="left"/>
    </xf>
    <xf numFmtId="0" fontId="2" fillId="3" borderId="6" xfId="0" applyFont="1" applyFill="1" applyBorder="1" applyAlignment="1">
      <alignment horizontal="left"/>
    </xf>
    <xf numFmtId="0" fontId="1" fillId="3" borderId="6" xfId="0" applyFont="1" applyFill="1" applyBorder="1" applyAlignment="1">
      <alignment horizontal="left" vertical="top" wrapText="1"/>
    </xf>
    <xf numFmtId="0" fontId="1" fillId="3" borderId="0" xfId="0" applyFont="1" applyFill="1" applyAlignment="1">
      <alignment horizontal="left" vertical="top" wrapText="1"/>
    </xf>
    <xf numFmtId="0" fontId="26" fillId="3" borderId="0" xfId="0" applyFont="1" applyFill="1" applyBorder="1" applyAlignment="1">
      <alignment horizontal="center"/>
    </xf>
    <xf numFmtId="0" fontId="26" fillId="3" borderId="0" xfId="0" applyFont="1" applyFill="1" applyBorder="1" applyAlignment="1">
      <alignment horizontal="center" wrapText="1"/>
    </xf>
    <xf numFmtId="0" fontId="23" fillId="5" borderId="4" xfId="0" applyFont="1" applyFill="1" applyBorder="1" applyAlignment="1">
      <alignment horizontal="center" vertical="top"/>
    </xf>
    <xf numFmtId="0" fontId="0" fillId="3" borderId="6" xfId="0" applyFill="1" applyBorder="1" applyAlignment="1">
      <alignment horizontal="right" vertical="center" wrapText="1"/>
    </xf>
    <xf numFmtId="0" fontId="0" fillId="3" borderId="6" xfId="0" applyFill="1" applyBorder="1" applyAlignment="1">
      <alignment horizontal="right" vertical="center"/>
    </xf>
    <xf numFmtId="0" fontId="0" fillId="3" borderId="2" xfId="0" applyFill="1" applyBorder="1" applyAlignment="1">
      <alignment horizontal="right" vertical="center"/>
    </xf>
    <xf numFmtId="0" fontId="23" fillId="5" borderId="1"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 fillId="3" borderId="10" xfId="0" applyFont="1" applyFill="1" applyBorder="1" applyAlignment="1">
      <alignment horizontal="right" vertical="center" wrapText="1"/>
    </xf>
    <xf numFmtId="0" fontId="1" fillId="3" borderId="17"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8" fillId="3" borderId="10" xfId="0" applyFont="1" applyFill="1" applyBorder="1" applyAlignment="1">
      <alignment horizontal="right" vertical="center" wrapText="1"/>
    </xf>
    <xf numFmtId="0" fontId="8" fillId="3" borderId="5" xfId="0" applyFont="1" applyFill="1" applyBorder="1" applyAlignment="1">
      <alignment horizontal="right" vertical="center" wrapText="1"/>
    </xf>
    <xf numFmtId="0" fontId="8" fillId="3" borderId="17" xfId="0" applyFont="1" applyFill="1" applyBorder="1" applyAlignment="1">
      <alignment horizontal="right" vertical="center" wrapText="1"/>
    </xf>
    <xf numFmtId="0" fontId="18" fillId="3" borderId="10" xfId="0" applyFont="1" applyFill="1" applyBorder="1" applyAlignment="1">
      <alignment horizontal="right" vertical="center" wrapText="1"/>
    </xf>
    <xf numFmtId="0" fontId="18" fillId="3" borderId="5" xfId="0" applyFont="1" applyFill="1" applyBorder="1" applyAlignment="1">
      <alignment horizontal="right" vertical="center" wrapText="1"/>
    </xf>
    <xf numFmtId="0" fontId="82" fillId="3" borderId="10" xfId="0" applyFont="1" applyFill="1" applyBorder="1" applyAlignment="1">
      <alignment horizontal="right" vertical="center" wrapText="1"/>
    </xf>
    <xf numFmtId="0" fontId="82" fillId="3" borderId="5" xfId="0" applyFont="1" applyFill="1" applyBorder="1" applyAlignment="1">
      <alignment horizontal="right" vertical="center" wrapText="1"/>
    </xf>
    <xf numFmtId="0" fontId="17" fillId="3" borderId="10" xfId="0" applyFont="1" applyFill="1" applyBorder="1" applyAlignment="1">
      <alignment horizontal="right" vertical="center" wrapText="1"/>
    </xf>
    <xf numFmtId="0" fontId="17" fillId="3" borderId="5" xfId="0" applyFont="1" applyFill="1" applyBorder="1" applyAlignment="1">
      <alignment horizontal="right" vertical="center" wrapText="1"/>
    </xf>
    <xf numFmtId="0" fontId="8" fillId="3" borderId="1" xfId="0" applyFont="1" applyFill="1" applyBorder="1" applyAlignment="1">
      <alignment horizontal="right" wrapText="1"/>
    </xf>
    <xf numFmtId="0" fontId="8" fillId="3" borderId="3" xfId="0" applyFont="1" applyFill="1" applyBorder="1" applyAlignment="1">
      <alignment horizontal="right" wrapText="1"/>
    </xf>
    <xf numFmtId="0" fontId="62" fillId="8" borderId="13" xfId="0" applyFont="1" applyFill="1" applyBorder="1" applyAlignment="1">
      <alignment horizontal="left" vertical="top" wrapText="1"/>
    </xf>
    <xf numFmtId="0" fontId="62" fillId="8" borderId="12" xfId="0" applyFont="1" applyFill="1" applyBorder="1" applyAlignment="1">
      <alignment horizontal="left" vertical="top" wrapText="1"/>
    </xf>
    <xf numFmtId="0" fontId="62" fillId="8" borderId="2" xfId="0" applyFont="1" applyFill="1" applyBorder="1" applyAlignment="1">
      <alignment horizontal="left" vertical="top" wrapText="1"/>
    </xf>
    <xf numFmtId="0" fontId="62" fillId="8" borderId="11" xfId="0" applyFont="1" applyFill="1" applyBorder="1" applyAlignment="1">
      <alignment horizontal="left" vertical="top" wrapText="1"/>
    </xf>
    <xf numFmtId="0" fontId="63" fillId="5" borderId="13" xfId="0" applyFont="1" applyFill="1" applyBorder="1" applyAlignment="1">
      <alignment horizontal="left" vertical="top" wrapText="1"/>
    </xf>
    <xf numFmtId="0" fontId="63" fillId="5" borderId="12" xfId="0" applyFont="1" applyFill="1" applyBorder="1" applyAlignment="1">
      <alignment horizontal="left" vertical="top" wrapText="1"/>
    </xf>
    <xf numFmtId="0" fontId="63" fillId="5" borderId="2" xfId="0" applyFont="1" applyFill="1" applyBorder="1" applyAlignment="1">
      <alignment horizontal="left" vertical="top" wrapText="1"/>
    </xf>
    <xf numFmtId="0" fontId="63" fillId="5" borderId="11" xfId="0" applyFont="1" applyFill="1" applyBorder="1" applyAlignment="1">
      <alignment horizontal="left" vertical="top" wrapText="1"/>
    </xf>
    <xf numFmtId="0" fontId="8" fillId="3" borderId="8" xfId="0" applyFont="1" applyFill="1" applyBorder="1" applyAlignment="1">
      <alignment horizontal="right" wrapText="1"/>
    </xf>
    <xf numFmtId="0" fontId="8" fillId="10" borderId="6" xfId="0" applyFont="1" applyFill="1" applyBorder="1" applyAlignment="1">
      <alignment horizontal="right" wrapText="1"/>
    </xf>
    <xf numFmtId="0" fontId="8" fillId="10" borderId="0" xfId="0" applyFont="1" applyFill="1" applyBorder="1" applyAlignment="1">
      <alignment horizontal="right" wrapText="1"/>
    </xf>
    <xf numFmtId="0" fontId="79" fillId="5" borderId="1" xfId="0" applyFont="1" applyFill="1" applyBorder="1" applyAlignment="1">
      <alignment horizontal="left" vertical="center" wrapText="1"/>
    </xf>
    <xf numFmtId="0" fontId="79" fillId="5" borderId="3" xfId="0" applyFont="1" applyFill="1" applyBorder="1" applyAlignment="1">
      <alignment horizontal="left" vertical="center" wrapText="1"/>
    </xf>
    <xf numFmtId="0" fontId="8" fillId="3" borderId="0" xfId="0" applyFont="1" applyFill="1" applyBorder="1" applyAlignment="1">
      <alignment horizontal="right" vertical="center" wrapText="1"/>
    </xf>
    <xf numFmtId="0" fontId="8" fillId="3" borderId="9" xfId="0" applyFont="1" applyFill="1" applyBorder="1" applyAlignment="1">
      <alignment horizontal="right" vertical="center" wrapText="1"/>
    </xf>
    <xf numFmtId="0" fontId="24" fillId="5" borderId="13"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7" fillId="10" borderId="0" xfId="0" quotePrefix="1" applyFont="1" applyFill="1" applyBorder="1" applyAlignment="1">
      <alignment horizontal="right" vertical="center" wrapText="1"/>
    </xf>
    <xf numFmtId="0" fontId="17" fillId="10" borderId="0" xfId="0" applyFont="1" applyFill="1" applyBorder="1" applyAlignment="1">
      <alignment horizontal="right" vertical="center" wrapText="1"/>
    </xf>
    <xf numFmtId="0" fontId="8" fillId="10" borderId="6" xfId="0" applyFont="1" applyFill="1" applyBorder="1" applyAlignment="1">
      <alignment horizontal="right" vertical="center" wrapText="1"/>
    </xf>
    <xf numFmtId="0" fontId="8" fillId="3" borderId="14" xfId="0" applyFont="1" applyFill="1" applyBorder="1" applyAlignment="1">
      <alignment horizontal="right" vertical="center" wrapText="1"/>
    </xf>
    <xf numFmtId="0" fontId="24" fillId="9" borderId="13" xfId="0" applyFont="1" applyFill="1" applyBorder="1" applyAlignment="1">
      <alignment horizontal="left" vertical="center" wrapText="1"/>
    </xf>
    <xf numFmtId="0" fontId="24" fillId="9" borderId="14" xfId="0" applyFont="1" applyFill="1" applyBorder="1" applyAlignment="1">
      <alignment horizontal="left" vertical="center" wrapText="1"/>
    </xf>
    <xf numFmtId="0" fontId="17" fillId="3" borderId="13" xfId="0" quotePrefix="1" applyFont="1" applyFill="1" applyBorder="1" applyAlignment="1">
      <alignment horizontal="right" vertical="center" wrapText="1"/>
    </xf>
    <xf numFmtId="0" fontId="17" fillId="3" borderId="2" xfId="0" applyFont="1" applyFill="1" applyBorder="1" applyAlignment="1">
      <alignment horizontal="right" vertical="center" wrapText="1"/>
    </xf>
    <xf numFmtId="0" fontId="81" fillId="3" borderId="13" xfId="0" applyFont="1" applyFill="1" applyBorder="1" applyAlignment="1">
      <alignment horizontal="right" vertical="center" wrapText="1"/>
    </xf>
    <xf numFmtId="0" fontId="81" fillId="3" borderId="2" xfId="0" applyFont="1" applyFill="1" applyBorder="1" applyAlignment="1">
      <alignment horizontal="right" vertical="center" wrapText="1"/>
    </xf>
    <xf numFmtId="0" fontId="8" fillId="10" borderId="6" xfId="0" applyFont="1" applyFill="1" applyBorder="1" applyAlignment="1">
      <alignment horizontal="right"/>
    </xf>
    <xf numFmtId="0" fontId="8" fillId="10" borderId="7" xfId="0" applyFont="1" applyFill="1" applyBorder="1" applyAlignment="1">
      <alignment horizontal="right"/>
    </xf>
    <xf numFmtId="0" fontId="18" fillId="3" borderId="13" xfId="0" quotePrefix="1" applyFont="1" applyFill="1" applyBorder="1" applyAlignment="1">
      <alignment horizontal="right" vertical="center" wrapText="1"/>
    </xf>
    <xf numFmtId="0" fontId="18" fillId="3" borderId="6" xfId="0" applyFont="1" applyFill="1" applyBorder="1" applyAlignment="1">
      <alignment horizontal="right" vertical="center" wrapText="1"/>
    </xf>
    <xf numFmtId="0" fontId="1" fillId="10" borderId="13" xfId="0" applyFont="1" applyFill="1" applyBorder="1" applyAlignment="1">
      <alignment horizontal="right" vertical="center" wrapText="1"/>
    </xf>
    <xf numFmtId="0" fontId="1" fillId="10" borderId="6" xfId="0" applyFont="1" applyFill="1" applyBorder="1" applyAlignment="1">
      <alignment horizontal="right" vertical="center" wrapText="1"/>
    </xf>
    <xf numFmtId="0" fontId="81" fillId="10" borderId="0" xfId="0" applyFont="1" applyFill="1" applyBorder="1" applyAlignment="1">
      <alignment horizontal="right" vertical="center" wrapText="1"/>
    </xf>
    <xf numFmtId="0" fontId="18" fillId="10" borderId="0" xfId="0" quotePrefix="1" applyFont="1" applyFill="1" applyBorder="1" applyAlignment="1">
      <alignment horizontal="right" vertical="center" wrapText="1"/>
    </xf>
    <xf numFmtId="0" fontId="18" fillId="10" borderId="0" xfId="0" applyFont="1" applyFill="1" applyBorder="1" applyAlignment="1">
      <alignment horizontal="right" vertical="center" wrapText="1"/>
    </xf>
    <xf numFmtId="0" fontId="8" fillId="10" borderId="13" xfId="0" applyFont="1" applyFill="1" applyBorder="1" applyAlignment="1">
      <alignment horizontal="right" vertical="center" wrapText="1"/>
    </xf>
    <xf numFmtId="0" fontId="8" fillId="10" borderId="2"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8" fillId="3" borderId="11" xfId="0" applyFont="1" applyFill="1" applyBorder="1" applyAlignment="1">
      <alignment horizontal="right" vertical="center" wrapText="1"/>
    </xf>
    <xf numFmtId="0" fontId="54" fillId="3" borderId="10" xfId="0" applyFont="1" applyFill="1" applyBorder="1" applyAlignment="1">
      <alignment horizontal="right" vertical="center" wrapText="1"/>
    </xf>
    <xf numFmtId="0" fontId="54" fillId="3" borderId="5" xfId="0" applyFont="1" applyFill="1" applyBorder="1" applyAlignment="1">
      <alignment horizontal="right" vertical="center" wrapText="1"/>
    </xf>
    <xf numFmtId="0" fontId="1" fillId="3" borderId="0" xfId="0" applyFont="1" applyFill="1" applyBorder="1" applyAlignment="1">
      <alignment horizontal="right" vertical="center" wrapText="1"/>
    </xf>
    <xf numFmtId="0" fontId="1" fillId="3" borderId="0" xfId="0" applyFont="1" applyFill="1" applyBorder="1" applyAlignment="1">
      <alignment horizontal="right" vertical="center"/>
    </xf>
    <xf numFmtId="0" fontId="1" fillId="3" borderId="9" xfId="0" applyFont="1" applyFill="1" applyBorder="1" applyAlignment="1">
      <alignment horizontal="right" vertical="center"/>
    </xf>
    <xf numFmtId="0" fontId="29" fillId="3" borderId="14" xfId="0" applyFont="1" applyFill="1" applyBorder="1" applyAlignment="1">
      <alignment horizontal="right" vertical="center" wrapText="1"/>
    </xf>
    <xf numFmtId="0" fontId="29" fillId="3" borderId="9" xfId="0" applyFont="1" applyFill="1" applyBorder="1" applyAlignment="1">
      <alignment horizontal="right"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8" fillId="3" borderId="13" xfId="0" applyFont="1" applyFill="1" applyBorder="1" applyAlignment="1">
      <alignment horizontal="right" vertical="center" wrapText="1"/>
    </xf>
    <xf numFmtId="0" fontId="58" fillId="3" borderId="6" xfId="0" applyFont="1" applyFill="1" applyBorder="1" applyAlignment="1">
      <alignment horizontal="right" vertical="center" wrapText="1"/>
    </xf>
    <xf numFmtId="0" fontId="58" fillId="3" borderId="2" xfId="0" applyFont="1" applyFill="1" applyBorder="1" applyAlignment="1">
      <alignment horizontal="right" vertical="center" wrapText="1"/>
    </xf>
    <xf numFmtId="0" fontId="59" fillId="3" borderId="13" xfId="0" applyFont="1" applyFill="1" applyBorder="1" applyAlignment="1">
      <alignment horizontal="right" vertical="center" wrapText="1"/>
    </xf>
    <xf numFmtId="0" fontId="59" fillId="3" borderId="2" xfId="0" applyFont="1" applyFill="1" applyBorder="1" applyAlignment="1">
      <alignment horizontal="right" vertical="center" wrapText="1"/>
    </xf>
    <xf numFmtId="0" fontId="8" fillId="10" borderId="2" xfId="0" applyFont="1" applyFill="1" applyBorder="1" applyAlignment="1">
      <alignment horizontal="right" wrapText="1"/>
    </xf>
    <xf numFmtId="0" fontId="8" fillId="10" borderId="9" xfId="0" applyFont="1" applyFill="1" applyBorder="1" applyAlignment="1">
      <alignment horizontal="right" wrapText="1"/>
    </xf>
    <xf numFmtId="0" fontId="54" fillId="3" borderId="6" xfId="0" applyFont="1" applyFill="1" applyBorder="1" applyAlignment="1">
      <alignment horizontal="right" vertical="center" wrapText="1"/>
    </xf>
    <xf numFmtId="0" fontId="54" fillId="3" borderId="6" xfId="0" applyFont="1" applyFill="1" applyBorder="1" applyAlignment="1">
      <alignment horizontal="right" vertical="center"/>
    </xf>
    <xf numFmtId="0" fontId="54" fillId="3" borderId="2" xfId="0" applyFont="1" applyFill="1" applyBorder="1" applyAlignment="1">
      <alignment horizontal="right" vertical="center"/>
    </xf>
    <xf numFmtId="0" fontId="1" fillId="3" borderId="12" xfId="0" applyFont="1" applyFill="1" applyBorder="1" applyAlignment="1">
      <alignment horizontal="right" vertical="center" wrapText="1"/>
    </xf>
    <xf numFmtId="0" fontId="1" fillId="3" borderId="7" xfId="0" applyFont="1" applyFill="1" applyBorder="1" applyAlignment="1">
      <alignment horizontal="right" vertical="center" wrapText="1"/>
    </xf>
    <xf numFmtId="0" fontId="1" fillId="3" borderId="11" xfId="0" applyFont="1" applyFill="1" applyBorder="1" applyAlignment="1">
      <alignment horizontal="right" vertical="center" wrapText="1"/>
    </xf>
    <xf numFmtId="0" fontId="55" fillId="3" borderId="13" xfId="0" quotePrefix="1" applyFont="1" applyFill="1" applyBorder="1" applyAlignment="1">
      <alignment horizontal="right" vertical="center" wrapText="1"/>
    </xf>
    <xf numFmtId="0" fontId="55" fillId="3" borderId="2" xfId="0" applyFont="1" applyFill="1" applyBorder="1" applyAlignment="1">
      <alignment horizontal="right" vertical="center" wrapText="1"/>
    </xf>
    <xf numFmtId="0" fontId="55" fillId="3" borderId="13" xfId="0" applyFont="1" applyFill="1" applyBorder="1" applyAlignment="1">
      <alignment horizontal="right" vertical="center" wrapText="1"/>
    </xf>
    <xf numFmtId="0" fontId="21" fillId="3" borderId="6" xfId="0" applyFont="1" applyFill="1" applyBorder="1" applyAlignment="1">
      <alignment horizontal="right" vertical="center" wrapText="1"/>
    </xf>
    <xf numFmtId="0" fontId="21" fillId="3" borderId="6" xfId="0" applyFont="1" applyFill="1" applyBorder="1" applyAlignment="1">
      <alignment horizontal="right" vertical="center"/>
    </xf>
    <xf numFmtId="0" fontId="21" fillId="3" borderId="2" xfId="0" applyFont="1" applyFill="1" applyBorder="1" applyAlignment="1">
      <alignment horizontal="right" vertical="center"/>
    </xf>
    <xf numFmtId="0" fontId="60" fillId="3" borderId="2" xfId="0" applyFont="1" applyFill="1" applyBorder="1" applyAlignment="1">
      <alignment horizontal="right" vertical="center" wrapText="1"/>
    </xf>
    <xf numFmtId="0" fontId="0" fillId="3" borderId="10" xfId="0" applyFill="1" applyBorder="1" applyAlignment="1">
      <alignment horizontal="right" vertical="center" wrapText="1"/>
    </xf>
    <xf numFmtId="0" fontId="0" fillId="3" borderId="17" xfId="0" applyFill="1" applyBorder="1" applyAlignment="1">
      <alignment horizontal="right" vertical="center" wrapText="1"/>
    </xf>
    <xf numFmtId="0" fontId="0" fillId="3" borderId="5" xfId="0" applyFill="1" applyBorder="1" applyAlignment="1">
      <alignment horizontal="right" vertical="center" wrapText="1"/>
    </xf>
    <xf numFmtId="0" fontId="2" fillId="9" borderId="4" xfId="0" applyFont="1" applyFill="1" applyBorder="1" applyAlignment="1">
      <alignment horizontal="left" vertical="top" wrapText="1"/>
    </xf>
    <xf numFmtId="0" fontId="2" fillId="9" borderId="1" xfId="0" applyFont="1" applyFill="1" applyBorder="1" applyAlignment="1">
      <alignment horizontal="left" vertical="top" wrapText="1"/>
    </xf>
    <xf numFmtId="0" fontId="23" fillId="5" borderId="3" xfId="0" applyFont="1" applyFill="1" applyBorder="1" applyAlignment="1">
      <alignment horizontal="center" vertical="top"/>
    </xf>
    <xf numFmtId="0" fontId="2" fillId="5" borderId="1" xfId="0" applyFont="1" applyFill="1" applyBorder="1" applyAlignment="1">
      <alignment horizontal="right"/>
    </xf>
    <xf numFmtId="0" fontId="2" fillId="5" borderId="3" xfId="0" applyFont="1" applyFill="1" applyBorder="1" applyAlignment="1">
      <alignment horizontal="right"/>
    </xf>
    <xf numFmtId="0" fontId="26" fillId="5" borderId="4" xfId="0" applyFont="1" applyFill="1" applyBorder="1" applyAlignment="1">
      <alignment horizontal="center" wrapText="1"/>
    </xf>
    <xf numFmtId="0" fontId="75" fillId="10" borderId="2" xfId="0" applyFont="1" applyFill="1" applyBorder="1" applyAlignment="1">
      <alignment horizontal="left"/>
    </xf>
    <xf numFmtId="0" fontId="75" fillId="10" borderId="11" xfId="0" applyFont="1" applyFill="1" applyBorder="1" applyAlignment="1">
      <alignment horizontal="left"/>
    </xf>
    <xf numFmtId="0" fontId="75" fillId="10" borderId="1" xfId="0" applyFont="1" applyFill="1" applyBorder="1" applyAlignment="1">
      <alignment horizontal="left" wrapText="1"/>
    </xf>
    <xf numFmtId="0" fontId="75" fillId="10" borderId="3" xfId="0" applyFont="1" applyFill="1" applyBorder="1" applyAlignment="1">
      <alignment horizontal="left" wrapText="1"/>
    </xf>
    <xf numFmtId="0" fontId="1" fillId="8" borderId="13" xfId="0" applyFont="1" applyFill="1" applyBorder="1" applyAlignment="1">
      <alignment horizontal="left" vertical="top" wrapText="1"/>
    </xf>
    <xf numFmtId="0" fontId="0" fillId="8" borderId="14" xfId="0" applyFill="1" applyBorder="1" applyAlignment="1">
      <alignment horizontal="left" vertical="top" wrapText="1"/>
    </xf>
    <xf numFmtId="0" fontId="0" fillId="8" borderId="2" xfId="0" applyFill="1" applyBorder="1" applyAlignment="1">
      <alignment horizontal="left" vertical="top" wrapText="1"/>
    </xf>
    <xf numFmtId="0" fontId="0" fillId="8" borderId="9" xfId="0" applyFill="1" applyBorder="1" applyAlignment="1">
      <alignment horizontal="left" vertical="top" wrapText="1"/>
    </xf>
    <xf numFmtId="0" fontId="56" fillId="5" borderId="4" xfId="0" applyFont="1" applyFill="1" applyBorder="1" applyAlignment="1">
      <alignment horizontal="center" vertical="top"/>
    </xf>
    <xf numFmtId="0" fontId="62" fillId="5" borderId="13" xfId="0" applyFont="1" applyFill="1" applyBorder="1" applyAlignment="1">
      <alignment horizontal="left" vertical="top" wrapText="1"/>
    </xf>
    <xf numFmtId="0" fontId="62" fillId="5" borderId="12" xfId="0" applyFont="1" applyFill="1" applyBorder="1" applyAlignment="1">
      <alignment horizontal="left" vertical="top" wrapText="1"/>
    </xf>
    <xf numFmtId="0" fontId="62" fillId="5" borderId="2" xfId="0" applyFont="1" applyFill="1" applyBorder="1" applyAlignment="1">
      <alignment horizontal="left" vertical="top" wrapText="1"/>
    </xf>
    <xf numFmtId="0" fontId="62" fillId="5" borderId="11" xfId="0" applyFont="1" applyFill="1" applyBorder="1" applyAlignment="1">
      <alignment horizontal="left" vertical="top" wrapText="1"/>
    </xf>
    <xf numFmtId="0" fontId="2" fillId="4" borderId="9" xfId="0" applyFont="1" applyFill="1" applyBorder="1" applyAlignment="1">
      <alignment horizontal="left"/>
    </xf>
    <xf numFmtId="0" fontId="1" fillId="0" borderId="14" xfId="0" applyFont="1" applyFill="1" applyBorder="1" applyAlignment="1">
      <alignment horizontal="left" vertical="top" wrapText="1"/>
    </xf>
    <xf numFmtId="0" fontId="1" fillId="0" borderId="0" xfId="0" applyFont="1" applyFill="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colors>
    <mruColors>
      <color rgb="FFCCCCFF"/>
      <color rgb="FF993300"/>
      <color rgb="FFFFFF99"/>
      <color rgb="FFCC0099"/>
      <color rgb="FF0000FF"/>
      <color rgb="FF3399FF"/>
      <color rgb="FFFF9999"/>
      <color rgb="FFFF66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2.3715324046032708E-2"/>
          <c:y val="8.7336155052690476E-2"/>
        </c:manualLayout>
      </c:layout>
      <c:overlay val="0"/>
      <c:spPr>
        <a:noFill/>
        <a:ln w="25400">
          <a:noFill/>
        </a:ln>
      </c:spPr>
    </c:title>
    <c:autoTitleDeleted val="0"/>
    <c:plotArea>
      <c:layout>
        <c:manualLayout>
          <c:layoutTarget val="inner"/>
          <c:xMode val="edge"/>
          <c:yMode val="edge"/>
          <c:x val="0.15027982226601655"/>
          <c:y val="0.2221810669442299"/>
          <c:w val="0.80353700885094559"/>
          <c:h val="0.64693898904349301"/>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Sheet1!$D$52:$D$71</c:f>
              <c:numCache>
                <c:formatCode>General</c:formatCode>
                <c:ptCount val="20"/>
                <c:pt idx="0">
                  <c:v>8.9</c:v>
                </c:pt>
                <c:pt idx="1">
                  <c:v>11.4</c:v>
                </c:pt>
                <c:pt idx="2">
                  <c:v>9.8000000000000007</c:v>
                </c:pt>
                <c:pt idx="3">
                  <c:v>5.2</c:v>
                </c:pt>
                <c:pt idx="4">
                  <c:v>8.4</c:v>
                </c:pt>
                <c:pt idx="5">
                  <c:v>11</c:v>
                </c:pt>
                <c:pt idx="6">
                  <c:v>5.6</c:v>
                </c:pt>
                <c:pt idx="7">
                  <c:v>12.3</c:v>
                </c:pt>
                <c:pt idx="8">
                  <c:v>7.2</c:v>
                </c:pt>
                <c:pt idx="9">
                  <c:v>14.3</c:v>
                </c:pt>
                <c:pt idx="10">
                  <c:v>5.7</c:v>
                </c:pt>
                <c:pt idx="11">
                  <c:v>13.9</c:v>
                </c:pt>
                <c:pt idx="12">
                  <c:v>5.9</c:v>
                </c:pt>
                <c:pt idx="13">
                  <c:v>13.1</c:v>
                </c:pt>
                <c:pt idx="14">
                  <c:v>8.6999999999999993</c:v>
                </c:pt>
                <c:pt idx="15">
                  <c:v>4.5999999999999996</c:v>
                </c:pt>
                <c:pt idx="16">
                  <c:v>12.4</c:v>
                </c:pt>
                <c:pt idx="17">
                  <c:v>13.1</c:v>
                </c:pt>
                <c:pt idx="18">
                  <c:v>9.5</c:v>
                </c:pt>
                <c:pt idx="19">
                  <c:v>6.6</c:v>
                </c:pt>
              </c:numCache>
            </c:numRef>
          </c:xVal>
          <c:yVal>
            <c:numRef>
              <c:f>Sheet1!$M$52:$M$71</c:f>
              <c:numCache>
                <c:formatCode>0.0</c:formatCode>
                <c:ptCount val="20"/>
                <c:pt idx="0">
                  <c:v>-6.1500000000000341</c:v>
                </c:pt>
                <c:pt idx="1">
                  <c:v>9.5500000000000682</c:v>
                </c:pt>
                <c:pt idx="2">
                  <c:v>-0.50000000000005684</c:v>
                </c:pt>
                <c:pt idx="3">
                  <c:v>0.55000000000001137</c:v>
                </c:pt>
                <c:pt idx="4">
                  <c:v>7.1999999999999886</c:v>
                </c:pt>
                <c:pt idx="5">
                  <c:v>10.150000000000034</c:v>
                </c:pt>
                <c:pt idx="6">
                  <c:v>2.2999999999999545</c:v>
                </c:pt>
                <c:pt idx="7">
                  <c:v>4.3499999999999659</c:v>
                </c:pt>
                <c:pt idx="8">
                  <c:v>15.199999999999989</c:v>
                </c:pt>
                <c:pt idx="9">
                  <c:v>7.1999999999999886</c:v>
                </c:pt>
                <c:pt idx="10">
                  <c:v>6.1499999999999773</c:v>
                </c:pt>
                <c:pt idx="11">
                  <c:v>3.0499999999999545</c:v>
                </c:pt>
                <c:pt idx="12">
                  <c:v>-5.7999999999999545</c:v>
                </c:pt>
                <c:pt idx="13">
                  <c:v>-11.949999999999989</c:v>
                </c:pt>
                <c:pt idx="14">
                  <c:v>14.400000000000034</c:v>
                </c:pt>
                <c:pt idx="15">
                  <c:v>-5.9500000000000455</c:v>
                </c:pt>
                <c:pt idx="16">
                  <c:v>-1.0500000000000114</c:v>
                </c:pt>
                <c:pt idx="17">
                  <c:v>1</c:v>
                </c:pt>
                <c:pt idx="18">
                  <c:v>5.3500000000000227</c:v>
                </c:pt>
                <c:pt idx="19">
                  <c:v>-6.8500000000000227</c:v>
                </c:pt>
              </c:numCache>
            </c:numRef>
          </c:yVal>
          <c:smooth val="0"/>
          <c:extLst>
            <c:ext xmlns:c16="http://schemas.microsoft.com/office/drawing/2014/chart" uri="{C3380CC4-5D6E-409C-BE32-E72D297353CC}">
              <c16:uniqueId val="{00000000-5DBA-4061-B724-416588C2ACED}"/>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Sheet1!$D$85:$D$104</c:f>
              <c:numCache>
                <c:formatCode>General</c:formatCode>
                <c:ptCount val="20"/>
                <c:pt idx="0">
                  <c:v>15.9</c:v>
                </c:pt>
                <c:pt idx="1">
                  <c:v>11.5</c:v>
                </c:pt>
                <c:pt idx="2">
                  <c:v>5.0999999999999996</c:v>
                </c:pt>
                <c:pt idx="3">
                  <c:v>9.5</c:v>
                </c:pt>
                <c:pt idx="4">
                  <c:v>7.9</c:v>
                </c:pt>
                <c:pt idx="5">
                  <c:v>7.2</c:v>
                </c:pt>
                <c:pt idx="6">
                  <c:v>9.5</c:v>
                </c:pt>
                <c:pt idx="7">
                  <c:v>14.7</c:v>
                </c:pt>
                <c:pt idx="8">
                  <c:v>11</c:v>
                </c:pt>
                <c:pt idx="9">
                  <c:v>17.7</c:v>
                </c:pt>
                <c:pt idx="10">
                  <c:v>4.2</c:v>
                </c:pt>
                <c:pt idx="11">
                  <c:v>11.7</c:v>
                </c:pt>
                <c:pt idx="12">
                  <c:v>7.7</c:v>
                </c:pt>
                <c:pt idx="13">
                  <c:v>11.6</c:v>
                </c:pt>
                <c:pt idx="14">
                  <c:v>4.9000000000000004</c:v>
                </c:pt>
                <c:pt idx="15">
                  <c:v>6.3</c:v>
                </c:pt>
                <c:pt idx="16">
                  <c:v>0.5</c:v>
                </c:pt>
                <c:pt idx="17">
                  <c:v>9.8000000000000007</c:v>
                </c:pt>
                <c:pt idx="18">
                  <c:v>17.5</c:v>
                </c:pt>
                <c:pt idx="19">
                  <c:v>10.1</c:v>
                </c:pt>
              </c:numCache>
            </c:numRef>
          </c:xVal>
          <c:yVal>
            <c:numRef>
              <c:f>Sheet1!$M$85:$M$104</c:f>
              <c:numCache>
                <c:formatCode>0.0</c:formatCode>
                <c:ptCount val="20"/>
                <c:pt idx="0">
                  <c:v>-0.70000000000004547</c:v>
                </c:pt>
                <c:pt idx="1">
                  <c:v>-14.75</c:v>
                </c:pt>
                <c:pt idx="2">
                  <c:v>15.800000000000011</c:v>
                </c:pt>
                <c:pt idx="3">
                  <c:v>20.949999999999989</c:v>
                </c:pt>
                <c:pt idx="4">
                  <c:v>15.5</c:v>
                </c:pt>
                <c:pt idx="5">
                  <c:v>13.650000000000034</c:v>
                </c:pt>
                <c:pt idx="6">
                  <c:v>6</c:v>
                </c:pt>
                <c:pt idx="7">
                  <c:v>-4.8499999999999659</c:v>
                </c:pt>
                <c:pt idx="8">
                  <c:v>8.1999999999999318</c:v>
                </c:pt>
                <c:pt idx="9">
                  <c:v>5.9000000000000341</c:v>
                </c:pt>
                <c:pt idx="10">
                  <c:v>13.050000000000011</c:v>
                </c:pt>
                <c:pt idx="11">
                  <c:v>-1.1000000000000227</c:v>
                </c:pt>
                <c:pt idx="12">
                  <c:v>24.850000000000023</c:v>
                </c:pt>
                <c:pt idx="13">
                  <c:v>8.1499999999999773</c:v>
                </c:pt>
                <c:pt idx="14">
                  <c:v>28.699999999999989</c:v>
                </c:pt>
                <c:pt idx="15">
                  <c:v>14.900000000000034</c:v>
                </c:pt>
                <c:pt idx="16">
                  <c:v>35.349999999999966</c:v>
                </c:pt>
                <c:pt idx="17">
                  <c:v>-0.94999999999998863</c:v>
                </c:pt>
                <c:pt idx="18">
                  <c:v>-0.5</c:v>
                </c:pt>
                <c:pt idx="19">
                  <c:v>7.6499999999999773</c:v>
                </c:pt>
              </c:numCache>
            </c:numRef>
          </c:yVal>
          <c:smooth val="0"/>
          <c:extLst>
            <c:ext xmlns:c16="http://schemas.microsoft.com/office/drawing/2014/chart" uri="{C3380CC4-5D6E-409C-BE32-E72D297353CC}">
              <c16:uniqueId val="{00000001-5DBA-4061-B724-416588C2ACED}"/>
            </c:ext>
          </c:extLst>
        </c:ser>
        <c:ser>
          <c:idx val="2"/>
          <c:order val="2"/>
          <c:tx>
            <c:strRef>
              <c:f>Sheet1!$M$119</c:f>
              <c:strCache>
                <c:ptCount val="1"/>
                <c:pt idx="0">
                  <c:v>Value of X1</c:v>
                </c:pt>
              </c:strCache>
            </c:strRef>
          </c:tx>
          <c:spPr>
            <a:ln w="12700">
              <a:solidFill>
                <a:srgbClr val="000000"/>
              </a:solidFill>
              <a:prstDash val="sysDash"/>
            </a:ln>
          </c:spPr>
          <c:marker>
            <c:symbol val="none"/>
          </c:marker>
          <c:xVal>
            <c:numRef>
              <c:f>Sheet1!$M$122:$M$123</c:f>
              <c:numCache>
                <c:formatCode>0.00</c:formatCode>
                <c:ptCount val="2"/>
                <c:pt idx="0">
                  <c:v>9.5474999999999994</c:v>
                </c:pt>
                <c:pt idx="1">
                  <c:v>9.5474999999999994</c:v>
                </c:pt>
              </c:numCache>
            </c:numRef>
          </c:xVal>
          <c:yVal>
            <c:numRef>
              <c:f>Sheet1!$M$120:$M$121</c:f>
              <c:numCache>
                <c:formatCode>0.00</c:formatCode>
                <c:ptCount val="2"/>
                <c:pt idx="0">
                  <c:v>6.0999999999999961</c:v>
                </c:pt>
                <c:pt idx="1">
                  <c:v>6.0999999999999961</c:v>
                </c:pt>
              </c:numCache>
            </c:numRef>
          </c:yVal>
          <c:smooth val="0"/>
          <c:extLst>
            <c:ext xmlns:c16="http://schemas.microsoft.com/office/drawing/2014/chart" uri="{C3380CC4-5D6E-409C-BE32-E72D297353CC}">
              <c16:uniqueId val="{00000002-5DBA-4061-B724-416588C2ACED}"/>
            </c:ext>
          </c:extLst>
        </c:ser>
        <c:dLbls>
          <c:showLegendKey val="0"/>
          <c:showVal val="0"/>
          <c:showCatName val="0"/>
          <c:showSerName val="0"/>
          <c:showPercent val="0"/>
          <c:showBubbleSize val="0"/>
        </c:dLbls>
        <c:axId val="218782336"/>
        <c:axId val="236131456"/>
      </c:scatterChart>
      <c:valAx>
        <c:axId val="218782336"/>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3220916616192206"/>
              <c:y val="0.879211889054408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36131456"/>
        <c:crosses val="autoZero"/>
        <c:crossBetween val="midCat"/>
      </c:valAx>
      <c:valAx>
        <c:axId val="236131456"/>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8782336"/>
        <c:crosses val="autoZero"/>
        <c:crossBetween val="midCat"/>
      </c:valAx>
      <c:spPr>
        <a:solidFill>
          <a:srgbClr val="FFFFFF"/>
        </a:solidFill>
        <a:ln w="12700">
          <a:solidFill>
            <a:srgbClr val="808080"/>
          </a:solidFill>
          <a:prstDash val="solid"/>
        </a:ln>
      </c:spPr>
    </c:plotArea>
    <c:legend>
      <c:legendPos val="r"/>
      <c:layout>
        <c:manualLayout>
          <c:xMode val="edge"/>
          <c:yMode val="edge"/>
          <c:x val="0.44680718756309307"/>
          <c:y val="1.7683825557841305E-2"/>
          <c:w val="0.49914435695538056"/>
          <c:h val="0.1904424109148518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sz="900" b="0" i="0" kern="1200" baseline="0">
                <a:solidFill>
                  <a:srgbClr val="000000"/>
                </a:solidFill>
                <a:effectLst/>
                <a:latin typeface="Arial Narrow"/>
                <a:ea typeface="Arial Narrow"/>
                <a:cs typeface="Arial Narrow"/>
              </a:rPr>
              <a:t>Custom effect</a:t>
            </a:r>
            <a:endParaRPr lang="en-US">
              <a:effectLst/>
            </a:endParaRPr>
          </a:p>
        </c:rich>
      </c:tx>
      <c:layout>
        <c:manualLayout>
          <c:xMode val="edge"/>
          <c:yMode val="edge"/>
          <c:x val="1.9762971936200281E-2"/>
          <c:y val="8.6956641681051119E-2"/>
        </c:manualLayout>
      </c:layout>
      <c:overlay val="0"/>
      <c:spPr>
        <a:noFill/>
        <a:ln w="25400">
          <a:noFill/>
        </a:ln>
      </c:spPr>
    </c:title>
    <c:autoTitleDeleted val="0"/>
    <c:plotArea>
      <c:layout>
        <c:manualLayout>
          <c:layoutTarget val="inner"/>
          <c:xMode val="edge"/>
          <c:yMode val="edge"/>
          <c:x val="0.15027982226601655"/>
          <c:y val="0.25285397064195847"/>
          <c:w val="0.80353700885094559"/>
          <c:h val="0.62212734165284467"/>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Sheet1!$E$52:$E$71</c:f>
              <c:numCache>
                <c:formatCode>General</c:formatCode>
                <c:ptCount val="20"/>
                <c:pt idx="0">
                  <c:v>398.85</c:v>
                </c:pt>
                <c:pt idx="1">
                  <c:v>393.04999999999995</c:v>
                </c:pt>
                <c:pt idx="2">
                  <c:v>400.20000000000005</c:v>
                </c:pt>
                <c:pt idx="3">
                  <c:v>404.15</c:v>
                </c:pt>
                <c:pt idx="4">
                  <c:v>406.8</c:v>
                </c:pt>
                <c:pt idx="5">
                  <c:v>394.95</c:v>
                </c:pt>
                <c:pt idx="6">
                  <c:v>403.1</c:v>
                </c:pt>
                <c:pt idx="7">
                  <c:v>398.35</c:v>
                </c:pt>
                <c:pt idx="8">
                  <c:v>396.6</c:v>
                </c:pt>
                <c:pt idx="9">
                  <c:v>413.1</c:v>
                </c:pt>
                <c:pt idx="10">
                  <c:v>404.35</c:v>
                </c:pt>
                <c:pt idx="11">
                  <c:v>388.85</c:v>
                </c:pt>
                <c:pt idx="12">
                  <c:v>408.4</c:v>
                </c:pt>
                <c:pt idx="13">
                  <c:v>390.65</c:v>
                </c:pt>
                <c:pt idx="14">
                  <c:v>395.2</c:v>
                </c:pt>
                <c:pt idx="15">
                  <c:v>423.45000000000005</c:v>
                </c:pt>
                <c:pt idx="16">
                  <c:v>391.45</c:v>
                </c:pt>
                <c:pt idx="17">
                  <c:v>400</c:v>
                </c:pt>
                <c:pt idx="18">
                  <c:v>408.75</c:v>
                </c:pt>
                <c:pt idx="19">
                  <c:v>414.35</c:v>
                </c:pt>
              </c:numCache>
            </c:numRef>
          </c:xVal>
          <c:yVal>
            <c:numRef>
              <c:f>Sheet1!$N$52:$N$71</c:f>
              <c:numCache>
                <c:formatCode>0.0</c:formatCode>
                <c:ptCount val="20"/>
                <c:pt idx="0">
                  <c:v>-6.1500000000000341</c:v>
                </c:pt>
                <c:pt idx="1">
                  <c:v>9.5500000000000682</c:v>
                </c:pt>
                <c:pt idx="2">
                  <c:v>-0.50000000000005684</c:v>
                </c:pt>
                <c:pt idx="3">
                  <c:v>0.55000000000001137</c:v>
                </c:pt>
                <c:pt idx="4">
                  <c:v>7.1999999999999886</c:v>
                </c:pt>
                <c:pt idx="5">
                  <c:v>10.150000000000034</c:v>
                </c:pt>
                <c:pt idx="6">
                  <c:v>2.2999999999999545</c:v>
                </c:pt>
                <c:pt idx="7">
                  <c:v>4.3499999999999659</c:v>
                </c:pt>
                <c:pt idx="8">
                  <c:v>15.199999999999989</c:v>
                </c:pt>
                <c:pt idx="9">
                  <c:v>7.1999999999999886</c:v>
                </c:pt>
                <c:pt idx="10">
                  <c:v>6.1499999999999773</c:v>
                </c:pt>
                <c:pt idx="11">
                  <c:v>3.0499999999999545</c:v>
                </c:pt>
                <c:pt idx="12">
                  <c:v>-5.7999999999999545</c:v>
                </c:pt>
                <c:pt idx="13">
                  <c:v>-11.949999999999989</c:v>
                </c:pt>
                <c:pt idx="14">
                  <c:v>14.400000000000034</c:v>
                </c:pt>
                <c:pt idx="15">
                  <c:v>-5.9500000000000455</c:v>
                </c:pt>
                <c:pt idx="16">
                  <c:v>-1.0500000000000114</c:v>
                </c:pt>
                <c:pt idx="17">
                  <c:v>1</c:v>
                </c:pt>
                <c:pt idx="18">
                  <c:v>5.3500000000000227</c:v>
                </c:pt>
                <c:pt idx="19">
                  <c:v>-6.8500000000000227</c:v>
                </c:pt>
              </c:numCache>
            </c:numRef>
          </c:yVal>
          <c:smooth val="0"/>
          <c:extLst>
            <c:ext xmlns:c16="http://schemas.microsoft.com/office/drawing/2014/chart" uri="{C3380CC4-5D6E-409C-BE32-E72D297353CC}">
              <c16:uniqueId val="{00000000-D807-49B2-AF07-B6282FB034D8}"/>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Sheet1!$E$85:$E$104</c:f>
              <c:numCache>
                <c:formatCode>General</c:formatCode>
                <c:ptCount val="20"/>
                <c:pt idx="0">
                  <c:v>398.1</c:v>
                </c:pt>
                <c:pt idx="1">
                  <c:v>402.05</c:v>
                </c:pt>
                <c:pt idx="2">
                  <c:v>422.2</c:v>
                </c:pt>
                <c:pt idx="3">
                  <c:v>396.45</c:v>
                </c:pt>
                <c:pt idx="4">
                  <c:v>393.9</c:v>
                </c:pt>
                <c:pt idx="5">
                  <c:v>386.65</c:v>
                </c:pt>
                <c:pt idx="6">
                  <c:v>398.4</c:v>
                </c:pt>
                <c:pt idx="7">
                  <c:v>409.95</c:v>
                </c:pt>
                <c:pt idx="8">
                  <c:v>398.70000000000005</c:v>
                </c:pt>
                <c:pt idx="9">
                  <c:v>388.79999999999995</c:v>
                </c:pt>
                <c:pt idx="10">
                  <c:v>388.75</c:v>
                </c:pt>
                <c:pt idx="11">
                  <c:v>395.8</c:v>
                </c:pt>
                <c:pt idx="12">
                  <c:v>393.75</c:v>
                </c:pt>
                <c:pt idx="13">
                  <c:v>409.25</c:v>
                </c:pt>
                <c:pt idx="14">
                  <c:v>394.5</c:v>
                </c:pt>
                <c:pt idx="15">
                  <c:v>399.2</c:v>
                </c:pt>
                <c:pt idx="16">
                  <c:v>385.35</c:v>
                </c:pt>
                <c:pt idx="17">
                  <c:v>401.45</c:v>
                </c:pt>
                <c:pt idx="18">
                  <c:v>399.8</c:v>
                </c:pt>
                <c:pt idx="19">
                  <c:v>420.75</c:v>
                </c:pt>
              </c:numCache>
            </c:numRef>
          </c:xVal>
          <c:yVal>
            <c:numRef>
              <c:f>Sheet1!$N$85:$N$104</c:f>
              <c:numCache>
                <c:formatCode>0.0</c:formatCode>
                <c:ptCount val="20"/>
                <c:pt idx="0">
                  <c:v>-0.70000000000004547</c:v>
                </c:pt>
                <c:pt idx="1">
                  <c:v>-14.75</c:v>
                </c:pt>
                <c:pt idx="2">
                  <c:v>15.800000000000011</c:v>
                </c:pt>
                <c:pt idx="3">
                  <c:v>20.949999999999989</c:v>
                </c:pt>
                <c:pt idx="4">
                  <c:v>15.5</c:v>
                </c:pt>
                <c:pt idx="5">
                  <c:v>13.650000000000034</c:v>
                </c:pt>
                <c:pt idx="6">
                  <c:v>6</c:v>
                </c:pt>
                <c:pt idx="7">
                  <c:v>-4.8499999999999659</c:v>
                </c:pt>
                <c:pt idx="8">
                  <c:v>8.1999999999999318</c:v>
                </c:pt>
                <c:pt idx="9">
                  <c:v>5.9000000000000341</c:v>
                </c:pt>
                <c:pt idx="10">
                  <c:v>13.050000000000011</c:v>
                </c:pt>
                <c:pt idx="11">
                  <c:v>-1.1000000000000227</c:v>
                </c:pt>
                <c:pt idx="12">
                  <c:v>24.850000000000023</c:v>
                </c:pt>
                <c:pt idx="13">
                  <c:v>8.1499999999999773</c:v>
                </c:pt>
                <c:pt idx="14">
                  <c:v>28.699999999999989</c:v>
                </c:pt>
                <c:pt idx="15">
                  <c:v>14.900000000000034</c:v>
                </c:pt>
                <c:pt idx="16">
                  <c:v>35.349999999999966</c:v>
                </c:pt>
                <c:pt idx="17">
                  <c:v>-0.94999999999998863</c:v>
                </c:pt>
                <c:pt idx="18">
                  <c:v>-0.5</c:v>
                </c:pt>
                <c:pt idx="19">
                  <c:v>7.6499999999999773</c:v>
                </c:pt>
              </c:numCache>
            </c:numRef>
          </c:yVal>
          <c:smooth val="0"/>
          <c:extLst>
            <c:ext xmlns:c16="http://schemas.microsoft.com/office/drawing/2014/chart" uri="{C3380CC4-5D6E-409C-BE32-E72D297353CC}">
              <c16:uniqueId val="{00000001-D807-49B2-AF07-B6282FB034D8}"/>
            </c:ext>
          </c:extLst>
        </c:ser>
        <c:ser>
          <c:idx val="2"/>
          <c:order val="2"/>
          <c:tx>
            <c:strRef>
              <c:f>Sheet1!$N$119</c:f>
              <c:strCache>
                <c:ptCount val="1"/>
                <c:pt idx="0">
                  <c:v>Value of X2</c:v>
                </c:pt>
              </c:strCache>
            </c:strRef>
          </c:tx>
          <c:spPr>
            <a:ln w="12700">
              <a:solidFill>
                <a:srgbClr val="000000"/>
              </a:solidFill>
              <a:prstDash val="sysDash"/>
            </a:ln>
          </c:spPr>
          <c:marker>
            <c:symbol val="none"/>
          </c:marker>
          <c:xVal>
            <c:numRef>
              <c:f>Sheet1!$N$122:$N$123</c:f>
              <c:numCache>
                <c:formatCode>0.00</c:formatCode>
                <c:ptCount val="2"/>
                <c:pt idx="0">
                  <c:v>400.46000000000004</c:v>
                </c:pt>
                <c:pt idx="1">
                  <c:v>400.46000000000004</c:v>
                </c:pt>
              </c:numCache>
            </c:numRef>
          </c:xVal>
          <c:yVal>
            <c:numRef>
              <c:f>Sheet1!$N$120:$N$121</c:f>
              <c:numCache>
                <c:formatCode>0.00</c:formatCode>
                <c:ptCount val="2"/>
                <c:pt idx="0">
                  <c:v>6.0999999999999961</c:v>
                </c:pt>
                <c:pt idx="1">
                  <c:v>6.0999999999999961</c:v>
                </c:pt>
              </c:numCache>
            </c:numRef>
          </c:yVal>
          <c:smooth val="0"/>
          <c:extLst>
            <c:ext xmlns:c16="http://schemas.microsoft.com/office/drawing/2014/chart" uri="{C3380CC4-5D6E-409C-BE32-E72D297353CC}">
              <c16:uniqueId val="{00000002-D807-49B2-AF07-B6282FB034D8}"/>
            </c:ext>
          </c:extLst>
        </c:ser>
        <c:dLbls>
          <c:showLegendKey val="0"/>
          <c:showVal val="0"/>
          <c:showCatName val="0"/>
          <c:showSerName val="0"/>
          <c:showPercent val="0"/>
          <c:showBubbleSize val="0"/>
        </c:dLbls>
        <c:axId val="242223360"/>
        <c:axId val="242399488"/>
      </c:scatterChart>
      <c:valAx>
        <c:axId val="242223360"/>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sz="900" b="0" i="0" u="none" strike="noStrike" baseline="0">
                    <a:effectLst/>
                  </a:rPr>
                  <a:t>Predictor</a:t>
                </a:r>
                <a:endParaRPr lang="en-US"/>
              </a:p>
            </c:rich>
          </c:tx>
          <c:layout>
            <c:manualLayout>
              <c:xMode val="edge"/>
              <c:yMode val="edge"/>
              <c:x val="0.44129012719563898"/>
              <c:y val="0.88558519149070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42399488"/>
        <c:crosses val="autoZero"/>
        <c:crossBetween val="midCat"/>
      </c:valAx>
      <c:valAx>
        <c:axId val="242399488"/>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42223360"/>
        <c:crosses val="autoZero"/>
        <c:crossBetween val="midCat"/>
      </c:valAx>
      <c:spPr>
        <a:solidFill>
          <a:srgbClr val="FFFFFF"/>
        </a:solidFill>
        <a:ln w="12700">
          <a:solidFill>
            <a:srgbClr val="808080"/>
          </a:solidFill>
          <a:prstDash val="solid"/>
        </a:ln>
      </c:spPr>
    </c:plotArea>
    <c:legend>
      <c:legendPos val="r"/>
      <c:layout>
        <c:manualLayout>
          <c:xMode val="edge"/>
          <c:yMode val="edge"/>
          <c:x val="0.44680718756309307"/>
          <c:y val="2.3812789167119874E-2"/>
          <c:w val="0.49914435695538056"/>
          <c:h val="0.21771692952795313"/>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sz="900" b="0" i="0" kern="1200" baseline="0">
                <a:solidFill>
                  <a:srgbClr val="000000"/>
                </a:solidFill>
                <a:effectLst/>
                <a:latin typeface="Arial Narrow"/>
                <a:ea typeface="Arial Narrow"/>
                <a:cs typeface="Arial Narrow"/>
              </a:rPr>
              <a:t>Custom effect</a:t>
            </a:r>
            <a:endParaRPr lang="en-US">
              <a:effectLst/>
            </a:endParaRPr>
          </a:p>
        </c:rich>
      </c:tx>
      <c:layout>
        <c:manualLayout>
          <c:xMode val="edge"/>
          <c:yMode val="edge"/>
          <c:x val="1.9762971936200281E-2"/>
          <c:y val="8.3333723909511312E-2"/>
        </c:manualLayout>
      </c:layout>
      <c:overlay val="0"/>
      <c:spPr>
        <a:noFill/>
        <a:ln w="25400">
          <a:noFill/>
        </a:ln>
      </c:spPr>
    </c:title>
    <c:autoTitleDeleted val="0"/>
    <c:plotArea>
      <c:layout>
        <c:manualLayout>
          <c:layoutTarget val="inner"/>
          <c:xMode val="edge"/>
          <c:yMode val="edge"/>
          <c:x val="0.15027982226601655"/>
          <c:y val="0.22173096155206287"/>
          <c:w val="0.80353700885094559"/>
          <c:h val="0.65653818683402665"/>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Sheet1!$D$52:$D$71</c:f>
              <c:numCache>
                <c:formatCode>General</c:formatCode>
                <c:ptCount val="20"/>
                <c:pt idx="0">
                  <c:v>8.9</c:v>
                </c:pt>
                <c:pt idx="1">
                  <c:v>11.4</c:v>
                </c:pt>
                <c:pt idx="2">
                  <c:v>9.8000000000000007</c:v>
                </c:pt>
                <c:pt idx="3">
                  <c:v>5.2</c:v>
                </c:pt>
                <c:pt idx="4">
                  <c:v>8.4</c:v>
                </c:pt>
                <c:pt idx="5">
                  <c:v>11</c:v>
                </c:pt>
                <c:pt idx="6">
                  <c:v>5.6</c:v>
                </c:pt>
                <c:pt idx="7">
                  <c:v>12.3</c:v>
                </c:pt>
                <c:pt idx="8">
                  <c:v>7.2</c:v>
                </c:pt>
                <c:pt idx="9">
                  <c:v>14.3</c:v>
                </c:pt>
                <c:pt idx="10">
                  <c:v>5.7</c:v>
                </c:pt>
                <c:pt idx="11">
                  <c:v>13.9</c:v>
                </c:pt>
                <c:pt idx="12">
                  <c:v>5.9</c:v>
                </c:pt>
                <c:pt idx="13">
                  <c:v>13.1</c:v>
                </c:pt>
                <c:pt idx="14">
                  <c:v>8.6999999999999993</c:v>
                </c:pt>
                <c:pt idx="15">
                  <c:v>4.5999999999999996</c:v>
                </c:pt>
                <c:pt idx="16">
                  <c:v>12.4</c:v>
                </c:pt>
                <c:pt idx="17">
                  <c:v>13.1</c:v>
                </c:pt>
                <c:pt idx="18">
                  <c:v>9.5</c:v>
                </c:pt>
                <c:pt idx="19">
                  <c:v>6.6</c:v>
                </c:pt>
              </c:numCache>
            </c:numRef>
          </c:xVal>
          <c:yVal>
            <c:numRef>
              <c:f>Sheet1!$O$52:$O$71</c:f>
              <c:numCache>
                <c:formatCode>0.0</c:formatCode>
                <c:ptCount val="20"/>
                <c:pt idx="0">
                  <c:v>-6.5056086455911322</c:v>
                </c:pt>
                <c:pt idx="1">
                  <c:v>7.9133167305404131</c:v>
                </c:pt>
                <c:pt idx="2">
                  <c:v>-0.55742748313898949</c:v>
                </c:pt>
                <c:pt idx="3">
                  <c:v>1.3650285107025706</c:v>
                </c:pt>
                <c:pt idx="4">
                  <c:v>8.6003470888493894</c:v>
                </c:pt>
                <c:pt idx="5">
                  <c:v>8.9329791073249094</c:v>
                </c:pt>
                <c:pt idx="6">
                  <c:v>2.8831098287952877</c:v>
                </c:pt>
                <c:pt idx="7">
                  <c:v>3.8839538868339933</c:v>
                </c:pt>
                <c:pt idx="8">
                  <c:v>14.347422750321956</c:v>
                </c:pt>
                <c:pt idx="9">
                  <c:v>9.9918591802928081</c:v>
                </c:pt>
                <c:pt idx="10">
                  <c:v>7.0092034977324964</c:v>
                </c:pt>
                <c:pt idx="11">
                  <c:v>0.48564200291137016</c:v>
                </c:pt>
                <c:pt idx="12">
                  <c:v>-4.0462530149109632</c:v>
                </c:pt>
                <c:pt idx="13">
                  <c:v>-14.116783113819036</c:v>
                </c:pt>
                <c:pt idx="14">
                  <c:v>13.238197841112346</c:v>
                </c:pt>
                <c:pt idx="15">
                  <c:v>-0.87208524090732364</c:v>
                </c:pt>
                <c:pt idx="16">
                  <c:v>-3.0400831656992571</c:v>
                </c:pt>
                <c:pt idx="17">
                  <c:v>0.89839752983110766</c:v>
                </c:pt>
                <c:pt idx="18">
                  <c:v>7.181053212391431</c:v>
                </c:pt>
                <c:pt idx="19">
                  <c:v>-3.7820471507700177</c:v>
                </c:pt>
              </c:numCache>
            </c:numRef>
          </c:yVal>
          <c:smooth val="0"/>
          <c:extLst>
            <c:ext xmlns:c16="http://schemas.microsoft.com/office/drawing/2014/chart" uri="{C3380CC4-5D6E-409C-BE32-E72D297353CC}">
              <c16:uniqueId val="{00000000-6AD0-476F-B21F-637FCD6619FA}"/>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Sheet1!$D$85:$D$104</c:f>
              <c:numCache>
                <c:formatCode>General</c:formatCode>
                <c:ptCount val="20"/>
                <c:pt idx="0">
                  <c:v>15.9</c:v>
                </c:pt>
                <c:pt idx="1">
                  <c:v>11.5</c:v>
                </c:pt>
                <c:pt idx="2">
                  <c:v>5.0999999999999996</c:v>
                </c:pt>
                <c:pt idx="3">
                  <c:v>9.5</c:v>
                </c:pt>
                <c:pt idx="4">
                  <c:v>7.9</c:v>
                </c:pt>
                <c:pt idx="5">
                  <c:v>7.2</c:v>
                </c:pt>
                <c:pt idx="6">
                  <c:v>9.5</c:v>
                </c:pt>
                <c:pt idx="7">
                  <c:v>14.7</c:v>
                </c:pt>
                <c:pt idx="8">
                  <c:v>11</c:v>
                </c:pt>
                <c:pt idx="9">
                  <c:v>17.7</c:v>
                </c:pt>
                <c:pt idx="10">
                  <c:v>4.2</c:v>
                </c:pt>
                <c:pt idx="11">
                  <c:v>11.7</c:v>
                </c:pt>
                <c:pt idx="12">
                  <c:v>7.7</c:v>
                </c:pt>
                <c:pt idx="13">
                  <c:v>11.6</c:v>
                </c:pt>
                <c:pt idx="14">
                  <c:v>4.9000000000000004</c:v>
                </c:pt>
                <c:pt idx="15">
                  <c:v>6.3</c:v>
                </c:pt>
                <c:pt idx="16">
                  <c:v>0.5</c:v>
                </c:pt>
                <c:pt idx="17">
                  <c:v>9.8000000000000007</c:v>
                </c:pt>
                <c:pt idx="18">
                  <c:v>17.5</c:v>
                </c:pt>
                <c:pt idx="19">
                  <c:v>10.1</c:v>
                </c:pt>
              </c:numCache>
            </c:numRef>
          </c:xVal>
          <c:yVal>
            <c:numRef>
              <c:f>Sheet1!$O$85:$O$104</c:f>
              <c:numCache>
                <c:formatCode>0.0</c:formatCode>
                <c:ptCount val="20"/>
                <c:pt idx="0">
                  <c:v>-1.2969848082926136</c:v>
                </c:pt>
                <c:pt idx="1">
                  <c:v>-14.347794133396118</c:v>
                </c:pt>
                <c:pt idx="2">
                  <c:v>21.299343106898455</c:v>
                </c:pt>
                <c:pt idx="3">
                  <c:v>19.935631745231678</c:v>
                </c:pt>
                <c:pt idx="4">
                  <c:v>13.84058460067828</c:v>
                </c:pt>
                <c:pt idx="5">
                  <c:v>10.156627032830393</c:v>
                </c:pt>
                <c:pt idx="6">
                  <c:v>5.4789030910666447</c:v>
                </c:pt>
                <c:pt idx="7">
                  <c:v>-2.4494127836031816</c:v>
                </c:pt>
                <c:pt idx="8">
                  <c:v>7.7547909904258177</c:v>
                </c:pt>
                <c:pt idx="9">
                  <c:v>2.9504903115714947</c:v>
                </c:pt>
                <c:pt idx="10">
                  <c:v>10.087842328344946</c:v>
                </c:pt>
                <c:pt idx="11">
                  <c:v>-2.2787920367133134</c:v>
                </c:pt>
                <c:pt idx="12">
                  <c:v>23.152640650998695</c:v>
                </c:pt>
                <c:pt idx="13">
                  <c:v>10.373515451225241</c:v>
                </c:pt>
                <c:pt idx="14">
                  <c:v>27.192360399396723</c:v>
                </c:pt>
                <c:pt idx="15">
                  <c:v>14.58127082269128</c:v>
                </c:pt>
                <c:pt idx="16">
                  <c:v>31.527779468940363</c:v>
                </c:pt>
                <c:pt idx="17">
                  <c:v>-0.69956993211456042</c:v>
                </c:pt>
                <c:pt idx="18">
                  <c:v>-0.66695337859029991</c:v>
                </c:pt>
                <c:pt idx="19">
                  <c:v>12.78255159332884</c:v>
                </c:pt>
              </c:numCache>
            </c:numRef>
          </c:yVal>
          <c:smooth val="0"/>
          <c:extLst>
            <c:ext xmlns:c16="http://schemas.microsoft.com/office/drawing/2014/chart" uri="{C3380CC4-5D6E-409C-BE32-E72D297353CC}">
              <c16:uniqueId val="{00000001-6AD0-476F-B21F-637FCD6619FA}"/>
            </c:ext>
          </c:extLst>
        </c:ser>
        <c:ser>
          <c:idx val="2"/>
          <c:order val="2"/>
          <c:tx>
            <c:strRef>
              <c:f>Sheet1!$O$119</c:f>
              <c:strCache>
                <c:ptCount val="1"/>
                <c:pt idx="0">
                  <c:v>Value of X1</c:v>
                </c:pt>
              </c:strCache>
            </c:strRef>
          </c:tx>
          <c:spPr>
            <a:ln w="12700">
              <a:solidFill>
                <a:srgbClr val="000000"/>
              </a:solidFill>
              <a:prstDash val="sysDash"/>
            </a:ln>
          </c:spPr>
          <c:marker>
            <c:symbol val="none"/>
          </c:marker>
          <c:xVal>
            <c:numRef>
              <c:f>Sheet1!$O$122:$O$123</c:f>
              <c:numCache>
                <c:formatCode>0.00</c:formatCode>
                <c:ptCount val="2"/>
                <c:pt idx="0">
                  <c:v>9.5474999999999994</c:v>
                </c:pt>
                <c:pt idx="1">
                  <c:v>9.5474999999999994</c:v>
                </c:pt>
              </c:numCache>
            </c:numRef>
          </c:xVal>
          <c:yVal>
            <c:numRef>
              <c:f>Sheet1!$O$120:$O$121</c:f>
              <c:numCache>
                <c:formatCode>0.00</c:formatCode>
                <c:ptCount val="2"/>
                <c:pt idx="0">
                  <c:v>31.527779468940363</c:v>
                </c:pt>
                <c:pt idx="1">
                  <c:v>-14.347794133396118</c:v>
                </c:pt>
              </c:numCache>
            </c:numRef>
          </c:yVal>
          <c:smooth val="0"/>
          <c:extLst>
            <c:ext xmlns:c16="http://schemas.microsoft.com/office/drawing/2014/chart" uri="{C3380CC4-5D6E-409C-BE32-E72D297353CC}">
              <c16:uniqueId val="{00000002-6AD0-476F-B21F-637FCD6619FA}"/>
            </c:ext>
          </c:extLst>
        </c:ser>
        <c:dLbls>
          <c:showLegendKey val="0"/>
          <c:showVal val="0"/>
          <c:showCatName val="0"/>
          <c:showSerName val="0"/>
          <c:showPercent val="0"/>
          <c:showBubbleSize val="0"/>
        </c:dLbls>
        <c:axId val="246087040"/>
        <c:axId val="248507392"/>
      </c:scatterChart>
      <c:valAx>
        <c:axId val="246087040"/>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sz="900" b="0" i="0" u="none" strike="noStrike" baseline="0">
                    <a:effectLst/>
                  </a:rPr>
                  <a:t>Predictor</a:t>
                </a:r>
                <a:endParaRPr lang="en-US"/>
              </a:p>
            </c:rich>
          </c:tx>
          <c:layout>
            <c:manualLayout>
              <c:xMode val="edge"/>
              <c:yMode val="edge"/>
              <c:x val="0.46810660205935795"/>
              <c:y val="0.886366938507686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48507392"/>
        <c:crosses val="autoZero"/>
        <c:crossBetween val="midCat"/>
      </c:valAx>
      <c:valAx>
        <c:axId val="248507392"/>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46087040"/>
        <c:crosses val="autoZero"/>
        <c:crossBetween val="midCat"/>
      </c:valAx>
      <c:spPr>
        <a:solidFill>
          <a:srgbClr val="FFFFFF"/>
        </a:solidFill>
        <a:ln w="12700">
          <a:solidFill>
            <a:srgbClr val="808080"/>
          </a:solidFill>
          <a:prstDash val="solid"/>
        </a:ln>
      </c:spPr>
    </c:plotArea>
    <c:legend>
      <c:legendPos val="r"/>
      <c:layout>
        <c:manualLayout>
          <c:xMode val="edge"/>
          <c:yMode val="edge"/>
          <c:x val="0.43454593175853024"/>
          <c:y val="1.52879327584052E-2"/>
          <c:w val="0.50935877246113459"/>
          <c:h val="0.1960016716660417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sz="900" b="0" i="0" kern="1200" baseline="0">
                <a:solidFill>
                  <a:srgbClr val="000000"/>
                </a:solidFill>
                <a:effectLst/>
                <a:latin typeface="Arial Narrow"/>
                <a:ea typeface="Arial Narrow"/>
                <a:cs typeface="Arial Narrow"/>
              </a:rPr>
              <a:t>Custom effect</a:t>
            </a:r>
            <a:endParaRPr lang="en-US">
              <a:effectLst/>
            </a:endParaRPr>
          </a:p>
        </c:rich>
      </c:tx>
      <c:layout>
        <c:manualLayout>
          <c:xMode val="edge"/>
          <c:yMode val="edge"/>
          <c:x val="1.9762971936200281E-2"/>
          <c:y val="8.6956880389951252E-2"/>
        </c:manualLayout>
      </c:layout>
      <c:overlay val="0"/>
      <c:spPr>
        <a:noFill/>
        <a:ln w="25400">
          <a:noFill/>
        </a:ln>
      </c:spPr>
    </c:title>
    <c:autoTitleDeleted val="0"/>
    <c:plotArea>
      <c:layout>
        <c:manualLayout>
          <c:layoutTarget val="inner"/>
          <c:xMode val="edge"/>
          <c:yMode val="edge"/>
          <c:x val="0.15027982226601655"/>
          <c:y val="0.25659569871646842"/>
          <c:w val="0.80353700885094559"/>
          <c:h val="0.60247692548365228"/>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Sheet1!$E$52:$E$71</c:f>
              <c:numCache>
                <c:formatCode>General</c:formatCode>
                <c:ptCount val="20"/>
                <c:pt idx="0">
                  <c:v>398.85</c:v>
                </c:pt>
                <c:pt idx="1">
                  <c:v>393.04999999999995</c:v>
                </c:pt>
                <c:pt idx="2">
                  <c:v>400.20000000000005</c:v>
                </c:pt>
                <c:pt idx="3">
                  <c:v>404.15</c:v>
                </c:pt>
                <c:pt idx="4">
                  <c:v>406.8</c:v>
                </c:pt>
                <c:pt idx="5">
                  <c:v>394.95</c:v>
                </c:pt>
                <c:pt idx="6">
                  <c:v>403.1</c:v>
                </c:pt>
                <c:pt idx="7">
                  <c:v>398.35</c:v>
                </c:pt>
                <c:pt idx="8">
                  <c:v>396.6</c:v>
                </c:pt>
                <c:pt idx="9">
                  <c:v>413.1</c:v>
                </c:pt>
                <c:pt idx="10">
                  <c:v>404.35</c:v>
                </c:pt>
                <c:pt idx="11">
                  <c:v>388.85</c:v>
                </c:pt>
                <c:pt idx="12">
                  <c:v>408.4</c:v>
                </c:pt>
                <c:pt idx="13">
                  <c:v>390.65</c:v>
                </c:pt>
                <c:pt idx="14">
                  <c:v>395.2</c:v>
                </c:pt>
                <c:pt idx="15">
                  <c:v>423.45000000000005</c:v>
                </c:pt>
                <c:pt idx="16">
                  <c:v>391.45</c:v>
                </c:pt>
                <c:pt idx="17">
                  <c:v>400</c:v>
                </c:pt>
                <c:pt idx="18">
                  <c:v>408.75</c:v>
                </c:pt>
                <c:pt idx="19">
                  <c:v>414.35</c:v>
                </c:pt>
              </c:numCache>
            </c:numRef>
          </c:xVal>
          <c:yVal>
            <c:numRef>
              <c:f>Sheet1!$P$52:$P$71</c:f>
              <c:numCache>
                <c:formatCode>0.0</c:formatCode>
                <c:ptCount val="20"/>
                <c:pt idx="0">
                  <c:v>-6.2305517012655498</c:v>
                </c:pt>
                <c:pt idx="1">
                  <c:v>9.7804587283311406</c:v>
                </c:pt>
                <c:pt idx="2">
                  <c:v>-0.46858794661080133</c:v>
                </c:pt>
                <c:pt idx="3">
                  <c:v>9.1528629315457133E-3</c:v>
                </c:pt>
                <c:pt idx="4">
                  <c:v>7.057246212815155</c:v>
                </c:pt>
                <c:pt idx="5">
                  <c:v>10.330697059595652</c:v>
                </c:pt>
                <c:pt idx="6">
                  <c:v>1.8089145316669428</c:v>
                </c:pt>
                <c:pt idx="7">
                  <c:v>4.6924224829858092</c:v>
                </c:pt>
                <c:pt idx="8">
                  <c:v>14.907961206608793</c:v>
                </c:pt>
                <c:pt idx="9">
                  <c:v>7.7912308266631021</c:v>
                </c:pt>
                <c:pt idx="10">
                  <c:v>5.671354948850829</c:v>
                </c:pt>
                <c:pt idx="11">
                  <c:v>3.5914691579276137</c:v>
                </c:pt>
                <c:pt idx="12">
                  <c:v>-6.2537642167813754</c:v>
                </c:pt>
                <c:pt idx="13">
                  <c:v>-11.508054179543239</c:v>
                </c:pt>
                <c:pt idx="14">
                  <c:v>14.294567464366791</c:v>
                </c:pt>
                <c:pt idx="15">
                  <c:v>-6.565489640171692</c:v>
                </c:pt>
                <c:pt idx="16">
                  <c:v>-0.69513709983030481</c:v>
                </c:pt>
                <c:pt idx="17">
                  <c:v>1.441945820456751</c:v>
                </c:pt>
                <c:pt idx="18">
                  <c:v>5.3440908018376874</c:v>
                </c:pt>
                <c:pt idx="19">
                  <c:v>-7.2166812964943992</c:v>
                </c:pt>
              </c:numCache>
            </c:numRef>
          </c:yVal>
          <c:smooth val="0"/>
          <c:extLst>
            <c:ext xmlns:c16="http://schemas.microsoft.com/office/drawing/2014/chart" uri="{C3380CC4-5D6E-409C-BE32-E72D297353CC}">
              <c16:uniqueId val="{00000000-671C-4D45-82A1-0A1C51F627BE}"/>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Sheet1!$E$85:$E$104</c:f>
              <c:numCache>
                <c:formatCode>General</c:formatCode>
                <c:ptCount val="20"/>
                <c:pt idx="0">
                  <c:v>398.1</c:v>
                </c:pt>
                <c:pt idx="1">
                  <c:v>402.05</c:v>
                </c:pt>
                <c:pt idx="2">
                  <c:v>422.2</c:v>
                </c:pt>
                <c:pt idx="3">
                  <c:v>396.45</c:v>
                </c:pt>
                <c:pt idx="4">
                  <c:v>393.9</c:v>
                </c:pt>
                <c:pt idx="5">
                  <c:v>386.65</c:v>
                </c:pt>
                <c:pt idx="6">
                  <c:v>398.4</c:v>
                </c:pt>
                <c:pt idx="7">
                  <c:v>409.95</c:v>
                </c:pt>
                <c:pt idx="8">
                  <c:v>398.70000000000005</c:v>
                </c:pt>
                <c:pt idx="9">
                  <c:v>388.79999999999995</c:v>
                </c:pt>
                <c:pt idx="10">
                  <c:v>388.75</c:v>
                </c:pt>
                <c:pt idx="11">
                  <c:v>395.8</c:v>
                </c:pt>
                <c:pt idx="12">
                  <c:v>393.75</c:v>
                </c:pt>
                <c:pt idx="13">
                  <c:v>409.25</c:v>
                </c:pt>
                <c:pt idx="14">
                  <c:v>394.5</c:v>
                </c:pt>
                <c:pt idx="15">
                  <c:v>399.2</c:v>
                </c:pt>
                <c:pt idx="16">
                  <c:v>385.35</c:v>
                </c:pt>
                <c:pt idx="17">
                  <c:v>401.45</c:v>
                </c:pt>
                <c:pt idx="18">
                  <c:v>399.8</c:v>
                </c:pt>
                <c:pt idx="19">
                  <c:v>420.75</c:v>
                </c:pt>
              </c:numCache>
            </c:numRef>
          </c:xVal>
          <c:yVal>
            <c:numRef>
              <c:f>Sheet1!$P$85:$P$104</c:f>
              <c:numCache>
                <c:formatCode>0.0</c:formatCode>
                <c:ptCount val="20"/>
                <c:pt idx="0">
                  <c:v>11.26576705006244</c:v>
                </c:pt>
                <c:pt idx="1">
                  <c:v>-11.072210127469972</c:v>
                </c:pt>
                <c:pt idx="2">
                  <c:v>7.4225503415737393</c:v>
                </c:pt>
                <c:pt idx="3">
                  <c:v>20.860527519106174</c:v>
                </c:pt>
                <c:pt idx="4">
                  <c:v>12.396717636367111</c:v>
                </c:pt>
                <c:pt idx="5">
                  <c:v>9.2281758126687983</c:v>
                </c:pt>
                <c:pt idx="6">
                  <c:v>5.9105275191061848</c:v>
                </c:pt>
                <c:pt idx="7">
                  <c:v>4.8554096380082115</c:v>
                </c:pt>
                <c:pt idx="8">
                  <c:v>10.935974284174</c:v>
                </c:pt>
                <c:pt idx="9">
                  <c:v>21.256303168143976</c:v>
                </c:pt>
                <c:pt idx="10">
                  <c:v>2.977282282533011</c:v>
                </c:pt>
                <c:pt idx="11">
                  <c:v>2.9545161078723883</c:v>
                </c:pt>
                <c:pt idx="12">
                  <c:v>21.369991401024748</c:v>
                </c:pt>
                <c:pt idx="13">
                  <c:v>12.016152990201197</c:v>
                </c:pt>
                <c:pt idx="14">
                  <c:v>19.945824106231335</c:v>
                </c:pt>
                <c:pt idx="15">
                  <c:v>8.78290775362807</c:v>
                </c:pt>
                <c:pt idx="16">
                  <c:v>18.307846928698854</c:v>
                </c:pt>
                <c:pt idx="17">
                  <c:v>-0.47438312788022596</c:v>
                </c:pt>
                <c:pt idx="18">
                  <c:v>14.479576932801558</c:v>
                </c:pt>
                <c:pt idx="19">
                  <c:v>8.6907062251333151</c:v>
                </c:pt>
              </c:numCache>
            </c:numRef>
          </c:yVal>
          <c:smooth val="0"/>
          <c:extLst>
            <c:ext xmlns:c16="http://schemas.microsoft.com/office/drawing/2014/chart" uri="{C3380CC4-5D6E-409C-BE32-E72D297353CC}">
              <c16:uniqueId val="{00000001-671C-4D45-82A1-0A1C51F627BE}"/>
            </c:ext>
          </c:extLst>
        </c:ser>
        <c:ser>
          <c:idx val="2"/>
          <c:order val="2"/>
          <c:tx>
            <c:strRef>
              <c:f>Sheet1!$P$119</c:f>
              <c:strCache>
                <c:ptCount val="1"/>
                <c:pt idx="0">
                  <c:v>Value of X2</c:v>
                </c:pt>
              </c:strCache>
            </c:strRef>
          </c:tx>
          <c:spPr>
            <a:ln w="12700">
              <a:solidFill>
                <a:srgbClr val="000000"/>
              </a:solidFill>
              <a:prstDash val="sysDash"/>
            </a:ln>
          </c:spPr>
          <c:marker>
            <c:symbol val="none"/>
          </c:marker>
          <c:xVal>
            <c:numRef>
              <c:f>Sheet1!$P$122:$P$123</c:f>
              <c:numCache>
                <c:formatCode>0.00</c:formatCode>
                <c:ptCount val="2"/>
                <c:pt idx="0">
                  <c:v>400.46000000000004</c:v>
                </c:pt>
                <c:pt idx="1">
                  <c:v>400.46000000000004</c:v>
                </c:pt>
              </c:numCache>
            </c:numRef>
          </c:xVal>
          <c:yVal>
            <c:numRef>
              <c:f>Sheet1!$P$120:$P$121</c:f>
              <c:numCache>
                <c:formatCode>0.00</c:formatCode>
                <c:ptCount val="2"/>
                <c:pt idx="0">
                  <c:v>21.369991401024748</c:v>
                </c:pt>
                <c:pt idx="1">
                  <c:v>-11.508054179543239</c:v>
                </c:pt>
              </c:numCache>
            </c:numRef>
          </c:yVal>
          <c:smooth val="0"/>
          <c:extLst>
            <c:ext xmlns:c16="http://schemas.microsoft.com/office/drawing/2014/chart" uri="{C3380CC4-5D6E-409C-BE32-E72D297353CC}">
              <c16:uniqueId val="{00000002-671C-4D45-82A1-0A1C51F627BE}"/>
            </c:ext>
          </c:extLst>
        </c:ser>
        <c:dLbls>
          <c:showLegendKey val="0"/>
          <c:showVal val="0"/>
          <c:showCatName val="0"/>
          <c:showSerName val="0"/>
          <c:showPercent val="0"/>
          <c:showBubbleSize val="0"/>
        </c:dLbls>
        <c:axId val="254464768"/>
        <c:axId val="263588480"/>
      </c:scatterChart>
      <c:valAx>
        <c:axId val="254464768"/>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sz="900" b="0" i="0" u="none" strike="noStrike" baseline="0">
                    <a:effectLst/>
                  </a:rPr>
                  <a:t>Predictor</a:t>
                </a:r>
                <a:endParaRPr lang="en-US"/>
              </a:p>
            </c:rich>
          </c:tx>
          <c:layout>
            <c:manualLayout>
              <c:xMode val="edge"/>
              <c:yMode val="edge"/>
              <c:x val="0.44011467797294573"/>
              <c:y val="0.87902587176602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63588480"/>
        <c:crosses val="autoZero"/>
        <c:crossBetween val="midCat"/>
      </c:valAx>
      <c:valAx>
        <c:axId val="263588480"/>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54464768"/>
        <c:crosses val="autoZero"/>
        <c:crossBetween val="midCat"/>
      </c:valAx>
      <c:spPr>
        <a:solidFill>
          <a:srgbClr val="FFFFFF"/>
        </a:solidFill>
        <a:ln w="12700">
          <a:solidFill>
            <a:srgbClr val="808080"/>
          </a:solidFill>
          <a:prstDash val="solid"/>
        </a:ln>
      </c:spPr>
    </c:plotArea>
    <c:legend>
      <c:legendPos val="r"/>
      <c:layout>
        <c:manualLayout>
          <c:xMode val="edge"/>
          <c:yMode val="edge"/>
          <c:x val="0.44163698768423176"/>
          <c:y val="2.4178852643419572E-2"/>
          <c:w val="0.51454996971532407"/>
          <c:h val="0.2021604799400074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2.3715324046032708E-2"/>
          <c:y val="8.6580405519485509E-2"/>
        </c:manualLayout>
      </c:layout>
      <c:overlay val="0"/>
      <c:spPr>
        <a:noFill/>
        <a:ln w="25400">
          <a:noFill/>
        </a:ln>
      </c:spPr>
    </c:title>
    <c:autoTitleDeleted val="0"/>
    <c:plotArea>
      <c:layout>
        <c:manualLayout>
          <c:layoutTarget val="inner"/>
          <c:xMode val="edge"/>
          <c:yMode val="edge"/>
          <c:x val="0.15027982226601655"/>
          <c:y val="0.27358113393160044"/>
          <c:w val="0.80353700885094559"/>
          <c:h val="0.61604538181625146"/>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Sheet1!$U$52:$U$71</c:f>
              <c:numCache>
                <c:formatCode>General</c:formatCode>
                <c:ptCount val="20"/>
                <c:pt idx="0">
                  <c:v>8.9</c:v>
                </c:pt>
                <c:pt idx="1">
                  <c:v>11.4</c:v>
                </c:pt>
                <c:pt idx="2">
                  <c:v>9.8000000000000007</c:v>
                </c:pt>
                <c:pt idx="3">
                  <c:v>5.2</c:v>
                </c:pt>
                <c:pt idx="4">
                  <c:v>8.4</c:v>
                </c:pt>
                <c:pt idx="5">
                  <c:v>11</c:v>
                </c:pt>
                <c:pt idx="6">
                  <c:v>5.6</c:v>
                </c:pt>
                <c:pt idx="7">
                  <c:v>12.3</c:v>
                </c:pt>
                <c:pt idx="8">
                  <c:v>7.2</c:v>
                </c:pt>
                <c:pt idx="9">
                  <c:v>14.3</c:v>
                </c:pt>
                <c:pt idx="10">
                  <c:v>5.7</c:v>
                </c:pt>
                <c:pt idx="11">
                  <c:v>13.9</c:v>
                </c:pt>
                <c:pt idx="12">
                  <c:v>5.9</c:v>
                </c:pt>
                <c:pt idx="13">
                  <c:v>13.1</c:v>
                </c:pt>
                <c:pt idx="14">
                  <c:v>8.6999999999999993</c:v>
                </c:pt>
                <c:pt idx="15">
                  <c:v>4.5999999999999996</c:v>
                </c:pt>
                <c:pt idx="16">
                  <c:v>12.4</c:v>
                </c:pt>
                <c:pt idx="17">
                  <c:v>13.1</c:v>
                </c:pt>
                <c:pt idx="18">
                  <c:v>9.5</c:v>
                </c:pt>
                <c:pt idx="19">
                  <c:v>6.6</c:v>
                </c:pt>
              </c:numCache>
            </c:numRef>
          </c:xVal>
          <c:yVal>
            <c:numRef>
              <c:f>Sheet1!$AD$52:$AD$71</c:f>
              <c:numCache>
                <c:formatCode>0.0</c:formatCode>
                <c:ptCount val="20"/>
                <c:pt idx="0">
                  <c:v>-1.5510205727846369</c:v>
                </c:pt>
                <c:pt idx="1">
                  <c:v>2.4010963243588321</c:v>
                </c:pt>
                <c:pt idx="2">
                  <c:v>-0.11689498085263494</c:v>
                </c:pt>
                <c:pt idx="3">
                  <c:v>0.14757495155299694</c:v>
                </c:pt>
                <c:pt idx="4">
                  <c:v>1.7544581576914879</c:v>
                </c:pt>
                <c:pt idx="5">
                  <c:v>2.5377668503634823</c:v>
                </c:pt>
                <c:pt idx="6">
                  <c:v>0.58360870364970197</c:v>
                </c:pt>
                <c:pt idx="7">
                  <c:v>1.0872833630228342</c:v>
                </c:pt>
                <c:pt idx="8">
                  <c:v>3.7735761401753507</c:v>
                </c:pt>
                <c:pt idx="9">
                  <c:v>1.7309051155459656</c:v>
                </c:pt>
                <c:pt idx="10">
                  <c:v>1.5133630845399466</c:v>
                </c:pt>
                <c:pt idx="11">
                  <c:v>0.78973784303559569</c:v>
                </c:pt>
                <c:pt idx="12">
                  <c:v>-1.4301654507328294</c:v>
                </c:pt>
                <c:pt idx="13">
                  <c:v>-3.1056469996623264</c:v>
                </c:pt>
                <c:pt idx="14">
                  <c:v>3.5859831159041278</c:v>
                </c:pt>
                <c:pt idx="15">
                  <c:v>-1.4143307413798993</c:v>
                </c:pt>
                <c:pt idx="16">
                  <c:v>-0.26213190319970181</c:v>
                </c:pt>
                <c:pt idx="17">
                  <c:v>0.26726923548790182</c:v>
                </c:pt>
                <c:pt idx="18">
                  <c:v>1.3035379099023885</c:v>
                </c:pt>
                <c:pt idx="19">
                  <c:v>-1.6670087333397987</c:v>
                </c:pt>
              </c:numCache>
            </c:numRef>
          </c:yVal>
          <c:smooth val="0"/>
          <c:extLst>
            <c:ext xmlns:c16="http://schemas.microsoft.com/office/drawing/2014/chart" uri="{C3380CC4-5D6E-409C-BE32-E72D297353CC}">
              <c16:uniqueId val="{00000000-6206-40E7-A2A0-E060CC6B490D}"/>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Sheet1!$U$85:$U$104</c:f>
              <c:numCache>
                <c:formatCode>General</c:formatCode>
                <c:ptCount val="20"/>
                <c:pt idx="0">
                  <c:v>15.9</c:v>
                </c:pt>
                <c:pt idx="1">
                  <c:v>11.5</c:v>
                </c:pt>
                <c:pt idx="2">
                  <c:v>5.0999999999999996</c:v>
                </c:pt>
                <c:pt idx="3">
                  <c:v>9.5</c:v>
                </c:pt>
                <c:pt idx="4">
                  <c:v>7.9</c:v>
                </c:pt>
                <c:pt idx="5">
                  <c:v>7.2</c:v>
                </c:pt>
                <c:pt idx="6">
                  <c:v>9.5</c:v>
                </c:pt>
                <c:pt idx="7">
                  <c:v>14.7</c:v>
                </c:pt>
                <c:pt idx="8">
                  <c:v>11</c:v>
                </c:pt>
                <c:pt idx="9">
                  <c:v>17.7</c:v>
                </c:pt>
                <c:pt idx="10">
                  <c:v>4.2</c:v>
                </c:pt>
                <c:pt idx="11">
                  <c:v>11.7</c:v>
                </c:pt>
                <c:pt idx="12">
                  <c:v>7.7</c:v>
                </c:pt>
                <c:pt idx="13">
                  <c:v>11.6</c:v>
                </c:pt>
                <c:pt idx="14">
                  <c:v>4.9000000000000004</c:v>
                </c:pt>
                <c:pt idx="15">
                  <c:v>6.3</c:v>
                </c:pt>
                <c:pt idx="16">
                  <c:v>0.5</c:v>
                </c:pt>
                <c:pt idx="17">
                  <c:v>9.8000000000000007</c:v>
                </c:pt>
                <c:pt idx="18">
                  <c:v>17.5</c:v>
                </c:pt>
                <c:pt idx="19">
                  <c:v>10.1</c:v>
                </c:pt>
              </c:numCache>
            </c:numRef>
          </c:xVal>
          <c:yVal>
            <c:numRef>
              <c:f>Sheet1!$AD$85:$AD$104</c:f>
              <c:numCache>
                <c:formatCode>0.0</c:formatCode>
                <c:ptCount val="20"/>
                <c:pt idx="0">
                  <c:v>-0.17578807482402681</c:v>
                </c:pt>
                <c:pt idx="1">
                  <c:v>-3.7369440973226347</c:v>
                </c:pt>
                <c:pt idx="2">
                  <c:v>3.6761766680326673</c:v>
                </c:pt>
                <c:pt idx="3">
                  <c:v>5.149857222764922</c:v>
                </c:pt>
                <c:pt idx="4">
                  <c:v>3.8628603128073564</c:v>
                </c:pt>
                <c:pt idx="5">
                  <c:v>3.4731910243426682</c:v>
                </c:pt>
                <c:pt idx="6">
                  <c:v>1.504675992558532</c:v>
                </c:pt>
                <c:pt idx="7">
                  <c:v>-1.1773593354860168</c:v>
                </c:pt>
                <c:pt idx="8">
                  <c:v>2.0424761967503855</c:v>
                </c:pt>
                <c:pt idx="9">
                  <c:v>1.5061439304291753</c:v>
                </c:pt>
                <c:pt idx="10">
                  <c:v>3.3018063328313474</c:v>
                </c:pt>
                <c:pt idx="11">
                  <c:v>-0.27503666973109375</c:v>
                </c:pt>
                <c:pt idx="12">
                  <c:v>6.1222267903249303</c:v>
                </c:pt>
                <c:pt idx="13">
                  <c:v>1.9763030432791311</c:v>
                </c:pt>
                <c:pt idx="14">
                  <c:v>7.0319432622449085</c:v>
                </c:pt>
                <c:pt idx="15">
                  <c:v>3.6714259123873489</c:v>
                </c:pt>
                <c:pt idx="16">
                  <c:v>8.779532859572555</c:v>
                </c:pt>
                <c:pt idx="17">
                  <c:v>-0.23422261798793897</c:v>
                </c:pt>
                <c:pt idx="18">
                  <c:v>-0.12348599296308294</c:v>
                </c:pt>
                <c:pt idx="19">
                  <c:v>1.838248049105573</c:v>
                </c:pt>
              </c:numCache>
            </c:numRef>
          </c:yVal>
          <c:smooth val="0"/>
          <c:extLst>
            <c:ext xmlns:c16="http://schemas.microsoft.com/office/drawing/2014/chart" uri="{C3380CC4-5D6E-409C-BE32-E72D297353CC}">
              <c16:uniqueId val="{00000001-6206-40E7-A2A0-E060CC6B490D}"/>
            </c:ext>
          </c:extLst>
        </c:ser>
        <c:ser>
          <c:idx val="2"/>
          <c:order val="2"/>
          <c:tx>
            <c:strRef>
              <c:f>Sheet1!$AD$119</c:f>
              <c:strCache>
                <c:ptCount val="1"/>
                <c:pt idx="0">
                  <c:v>Value of X1</c:v>
                </c:pt>
              </c:strCache>
            </c:strRef>
          </c:tx>
          <c:spPr>
            <a:ln w="12700">
              <a:solidFill>
                <a:srgbClr val="000000"/>
              </a:solidFill>
              <a:prstDash val="sysDash"/>
            </a:ln>
          </c:spPr>
          <c:marker>
            <c:symbol val="none"/>
          </c:marker>
          <c:xVal>
            <c:numRef>
              <c:f>Sheet1!$AD$122:$AD$123</c:f>
              <c:numCache>
                <c:formatCode>0.00</c:formatCode>
                <c:ptCount val="2"/>
                <c:pt idx="0">
                  <c:v>9.5474999999999994</c:v>
                </c:pt>
                <c:pt idx="1">
                  <c:v>9.5474999999999994</c:v>
                </c:pt>
              </c:numCache>
            </c:numRef>
          </c:xVal>
          <c:yVal>
            <c:numRef>
              <c:f>Sheet1!$AD$120:$AD$121</c:f>
              <c:numCache>
                <c:formatCode>0.00</c:formatCode>
                <c:ptCount val="2"/>
                <c:pt idx="0">
                  <c:v>1.5035748055598872</c:v>
                </c:pt>
                <c:pt idx="1">
                  <c:v>1.5035748055598872</c:v>
                </c:pt>
              </c:numCache>
            </c:numRef>
          </c:yVal>
          <c:smooth val="0"/>
          <c:extLst>
            <c:ext xmlns:c16="http://schemas.microsoft.com/office/drawing/2014/chart" uri="{C3380CC4-5D6E-409C-BE32-E72D297353CC}">
              <c16:uniqueId val="{00000002-6206-40E7-A2A0-E060CC6B490D}"/>
            </c:ext>
          </c:extLst>
        </c:ser>
        <c:dLbls>
          <c:showLegendKey val="0"/>
          <c:showVal val="0"/>
          <c:showCatName val="0"/>
          <c:showSerName val="0"/>
          <c:showPercent val="0"/>
          <c:showBubbleSize val="0"/>
        </c:dLbls>
        <c:axId val="270410112"/>
        <c:axId val="270412032"/>
      </c:scatterChart>
      <c:valAx>
        <c:axId val="27041011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3220916616192195"/>
              <c:y val="0.915605316650669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70412032"/>
        <c:crosses val="autoZero"/>
        <c:crossBetween val="midCat"/>
      </c:valAx>
      <c:valAx>
        <c:axId val="270412032"/>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70410112"/>
        <c:crosses val="autoZero"/>
        <c:crossBetween val="midCat"/>
      </c:valAx>
      <c:spPr>
        <a:solidFill>
          <a:srgbClr val="FFFFFF"/>
        </a:solidFill>
        <a:ln w="12700">
          <a:solidFill>
            <a:srgbClr val="808080"/>
          </a:solidFill>
          <a:prstDash val="solid"/>
        </a:ln>
      </c:spPr>
    </c:plotArea>
    <c:legend>
      <c:legendPos val="r"/>
      <c:layout>
        <c:manualLayout>
          <c:xMode val="edge"/>
          <c:yMode val="edge"/>
          <c:x val="0.43344841510195842"/>
          <c:y val="2.7329971911405813E-2"/>
          <c:w val="0.50222531798909753"/>
          <c:h val="0.2053613912296050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1.9762971936200281E-2"/>
          <c:y val="8.6956774208533663E-2"/>
        </c:manualLayout>
      </c:layout>
      <c:overlay val="0"/>
      <c:spPr>
        <a:noFill/>
        <a:ln w="25400">
          <a:noFill/>
        </a:ln>
      </c:spPr>
    </c:title>
    <c:autoTitleDeleted val="0"/>
    <c:plotArea>
      <c:layout>
        <c:manualLayout>
          <c:layoutTarget val="inner"/>
          <c:xMode val="edge"/>
          <c:yMode val="edge"/>
          <c:x val="0.13801208167287232"/>
          <c:y val="0.24841719530185891"/>
          <c:w val="0.81580474944408998"/>
          <c:h val="0.6271643163299242"/>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Sheet1!$V$52:$V$71</c:f>
              <c:numCache>
                <c:formatCode>General</c:formatCode>
                <c:ptCount val="20"/>
                <c:pt idx="0">
                  <c:v>598.85561673118104</c:v>
                </c:pt>
                <c:pt idx="1">
                  <c:v>597.39325499621032</c:v>
                </c:pt>
                <c:pt idx="2">
                  <c:v>599.18832155258042</c:v>
                </c:pt>
                <c:pt idx="3">
                  <c:v>600.16703023662899</c:v>
                </c:pt>
                <c:pt idx="4">
                  <c:v>600.83213922483992</c:v>
                </c:pt>
                <c:pt idx="5">
                  <c:v>597.87562817050093</c:v>
                </c:pt>
                <c:pt idx="6">
                  <c:v>599.9038146981402</c:v>
                </c:pt>
                <c:pt idx="7">
                  <c:v>598.73190342271801</c:v>
                </c:pt>
                <c:pt idx="8">
                  <c:v>598.28020331919356</c:v>
                </c:pt>
                <c:pt idx="9">
                  <c:v>602.36596908556112</c:v>
                </c:pt>
                <c:pt idx="10">
                  <c:v>600.22422980470833</c:v>
                </c:pt>
                <c:pt idx="11">
                  <c:v>596.31093267752294</c:v>
                </c:pt>
                <c:pt idx="12">
                  <c:v>601.22451677130198</c:v>
                </c:pt>
                <c:pt idx="13">
                  <c:v>596.78008049043729</c:v>
                </c:pt>
                <c:pt idx="14">
                  <c:v>597.93212425662568</c:v>
                </c:pt>
                <c:pt idx="15">
                  <c:v>604.84278517047096</c:v>
                </c:pt>
                <c:pt idx="16">
                  <c:v>596.97931735709335</c:v>
                </c:pt>
                <c:pt idx="17">
                  <c:v>599.12887349516905</c:v>
                </c:pt>
                <c:pt idx="18">
                  <c:v>601.30721114524977</c:v>
                </c:pt>
                <c:pt idx="19">
                  <c:v>602.67110200143156</c:v>
                </c:pt>
              </c:numCache>
            </c:numRef>
          </c:xVal>
          <c:yVal>
            <c:numRef>
              <c:f>Sheet1!$AE$52:$AE$71</c:f>
              <c:numCache>
                <c:formatCode>0.0</c:formatCode>
                <c:ptCount val="20"/>
                <c:pt idx="0">
                  <c:v>-1.5510205727846369</c:v>
                </c:pt>
                <c:pt idx="1">
                  <c:v>2.4010963243588321</c:v>
                </c:pt>
                <c:pt idx="2">
                  <c:v>-0.11689498085263494</c:v>
                </c:pt>
                <c:pt idx="3">
                  <c:v>0.14757495155299694</c:v>
                </c:pt>
                <c:pt idx="4">
                  <c:v>1.7544581576914879</c:v>
                </c:pt>
                <c:pt idx="5">
                  <c:v>2.5377668503634823</c:v>
                </c:pt>
                <c:pt idx="6">
                  <c:v>0.58360870364970197</c:v>
                </c:pt>
                <c:pt idx="7">
                  <c:v>1.0872833630228342</c:v>
                </c:pt>
                <c:pt idx="8">
                  <c:v>3.7735761401753507</c:v>
                </c:pt>
                <c:pt idx="9">
                  <c:v>1.7309051155459656</c:v>
                </c:pt>
                <c:pt idx="10">
                  <c:v>1.5133630845399466</c:v>
                </c:pt>
                <c:pt idx="11">
                  <c:v>0.78973784303559569</c:v>
                </c:pt>
                <c:pt idx="12">
                  <c:v>-1.4301654507328294</c:v>
                </c:pt>
                <c:pt idx="13">
                  <c:v>-3.1056469996623264</c:v>
                </c:pt>
                <c:pt idx="14">
                  <c:v>3.5859831159041278</c:v>
                </c:pt>
                <c:pt idx="15">
                  <c:v>-1.4143307413798993</c:v>
                </c:pt>
                <c:pt idx="16">
                  <c:v>-0.26213190319970181</c:v>
                </c:pt>
                <c:pt idx="17">
                  <c:v>0.26726923548790182</c:v>
                </c:pt>
                <c:pt idx="18">
                  <c:v>1.3035379099023885</c:v>
                </c:pt>
                <c:pt idx="19">
                  <c:v>-1.6670087333397987</c:v>
                </c:pt>
              </c:numCache>
            </c:numRef>
          </c:yVal>
          <c:smooth val="0"/>
          <c:extLst>
            <c:ext xmlns:c16="http://schemas.microsoft.com/office/drawing/2014/chart" uri="{C3380CC4-5D6E-409C-BE32-E72D297353CC}">
              <c16:uniqueId val="{00000000-3657-416E-81FD-79A60E8232DF}"/>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Sheet1!$V$85:$V$104</c:f>
              <c:numCache>
                <c:formatCode>General</c:formatCode>
                <c:ptCount val="20"/>
                <c:pt idx="0">
                  <c:v>598.67012108659571</c:v>
                </c:pt>
                <c:pt idx="1">
                  <c:v>599.65690274939334</c:v>
                </c:pt>
                <c:pt idx="2">
                  <c:v>604.54571436961191</c:v>
                </c:pt>
                <c:pt idx="3">
                  <c:v>598.25464224154507</c:v>
                </c:pt>
                <c:pt idx="4">
                  <c:v>597.60640700991155</c:v>
                </c:pt>
                <c:pt idx="5">
                  <c:v>595.74823557551008</c:v>
                </c:pt>
                <c:pt idx="6">
                  <c:v>598.73577272207308</c:v>
                </c:pt>
                <c:pt idx="7">
                  <c:v>601.59075435635043</c:v>
                </c:pt>
                <c:pt idx="8">
                  <c:v>598.81426930401403</c:v>
                </c:pt>
                <c:pt idx="9">
                  <c:v>596.306454336451</c:v>
                </c:pt>
                <c:pt idx="10">
                  <c:v>596.29363890525212</c:v>
                </c:pt>
                <c:pt idx="11">
                  <c:v>598.08763493661127</c:v>
                </c:pt>
                <c:pt idx="12">
                  <c:v>597.56935421086507</c:v>
                </c:pt>
                <c:pt idx="13">
                  <c:v>601.42819642103086</c:v>
                </c:pt>
                <c:pt idx="14">
                  <c:v>597.75254479216403</c:v>
                </c:pt>
                <c:pt idx="15">
                  <c:v>598.93932314276481</c:v>
                </c:pt>
                <c:pt idx="16">
                  <c:v>595.41246620007496</c:v>
                </c:pt>
                <c:pt idx="17">
                  <c:v>599.50559926882931</c:v>
                </c:pt>
                <c:pt idx="18">
                  <c:v>599.09478739988072</c:v>
                </c:pt>
                <c:pt idx="19">
                  <c:v>604.16748580825379</c:v>
                </c:pt>
              </c:numCache>
            </c:numRef>
          </c:xVal>
          <c:yVal>
            <c:numRef>
              <c:f>Sheet1!$AE$85:$AE$104</c:f>
              <c:numCache>
                <c:formatCode>0.0</c:formatCode>
                <c:ptCount val="20"/>
                <c:pt idx="0">
                  <c:v>-0.17578807482402681</c:v>
                </c:pt>
                <c:pt idx="1">
                  <c:v>-3.7369440973226347</c:v>
                </c:pt>
                <c:pt idx="2">
                  <c:v>3.6761766680326673</c:v>
                </c:pt>
                <c:pt idx="3">
                  <c:v>5.149857222764922</c:v>
                </c:pt>
                <c:pt idx="4">
                  <c:v>3.8628603128073564</c:v>
                </c:pt>
                <c:pt idx="5">
                  <c:v>3.4731910243426682</c:v>
                </c:pt>
                <c:pt idx="6">
                  <c:v>1.504675992558532</c:v>
                </c:pt>
                <c:pt idx="7">
                  <c:v>-1.1773593354860168</c:v>
                </c:pt>
                <c:pt idx="8">
                  <c:v>2.0424761967503855</c:v>
                </c:pt>
                <c:pt idx="9">
                  <c:v>1.5061439304291753</c:v>
                </c:pt>
                <c:pt idx="10">
                  <c:v>3.3018063328313474</c:v>
                </c:pt>
                <c:pt idx="11">
                  <c:v>-0.27503666973109375</c:v>
                </c:pt>
                <c:pt idx="12">
                  <c:v>6.1222267903249303</c:v>
                </c:pt>
                <c:pt idx="13">
                  <c:v>1.9763030432791311</c:v>
                </c:pt>
                <c:pt idx="14">
                  <c:v>7.0319432622449085</c:v>
                </c:pt>
                <c:pt idx="15">
                  <c:v>3.6714259123873489</c:v>
                </c:pt>
                <c:pt idx="16">
                  <c:v>8.779532859572555</c:v>
                </c:pt>
                <c:pt idx="17">
                  <c:v>-0.23422261798793897</c:v>
                </c:pt>
                <c:pt idx="18">
                  <c:v>-0.12348599296308294</c:v>
                </c:pt>
                <c:pt idx="19">
                  <c:v>1.838248049105573</c:v>
                </c:pt>
              </c:numCache>
            </c:numRef>
          </c:yVal>
          <c:smooth val="0"/>
          <c:extLst>
            <c:ext xmlns:c16="http://schemas.microsoft.com/office/drawing/2014/chart" uri="{C3380CC4-5D6E-409C-BE32-E72D297353CC}">
              <c16:uniqueId val="{00000001-3657-416E-81FD-79A60E8232DF}"/>
            </c:ext>
          </c:extLst>
        </c:ser>
        <c:ser>
          <c:idx val="2"/>
          <c:order val="2"/>
          <c:tx>
            <c:strRef>
              <c:f>Sheet1!$AE$119</c:f>
              <c:strCache>
                <c:ptCount val="1"/>
                <c:pt idx="0">
                  <c:v>Value of X2</c:v>
                </c:pt>
              </c:strCache>
            </c:strRef>
          </c:tx>
          <c:spPr>
            <a:ln w="12700">
              <a:solidFill>
                <a:srgbClr val="000000"/>
              </a:solidFill>
              <a:prstDash val="sysDash"/>
            </a:ln>
          </c:spPr>
          <c:marker>
            <c:symbol val="none"/>
          </c:marker>
          <c:xVal>
            <c:numRef>
              <c:f>Sheet1!$AE$122:$AE$123</c:f>
              <c:numCache>
                <c:formatCode>0.00</c:formatCode>
                <c:ptCount val="2"/>
                <c:pt idx="0">
                  <c:v>599.22938398611871</c:v>
                </c:pt>
                <c:pt idx="1">
                  <c:v>599.22938398611871</c:v>
                </c:pt>
              </c:numCache>
            </c:numRef>
          </c:xVal>
          <c:yVal>
            <c:numRef>
              <c:f>Sheet1!$AE$120:$AE$121</c:f>
              <c:numCache>
                <c:formatCode>0.00</c:formatCode>
                <c:ptCount val="2"/>
                <c:pt idx="0">
                  <c:v>1.5035748055598872</c:v>
                </c:pt>
                <c:pt idx="1">
                  <c:v>1.5035748055598872</c:v>
                </c:pt>
              </c:numCache>
            </c:numRef>
          </c:yVal>
          <c:smooth val="0"/>
          <c:extLst>
            <c:ext xmlns:c16="http://schemas.microsoft.com/office/drawing/2014/chart" uri="{C3380CC4-5D6E-409C-BE32-E72D297353CC}">
              <c16:uniqueId val="{00000002-3657-416E-81FD-79A60E8232DF}"/>
            </c:ext>
          </c:extLst>
        </c:ser>
        <c:dLbls>
          <c:showLegendKey val="0"/>
          <c:showVal val="0"/>
          <c:showCatName val="0"/>
          <c:showSerName val="0"/>
          <c:showPercent val="0"/>
          <c:showBubbleSize val="0"/>
        </c:dLbls>
        <c:axId val="65626880"/>
        <c:axId val="65628416"/>
      </c:scatterChart>
      <c:valAx>
        <c:axId val="65626880"/>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708839087421765"/>
              <c:y val="0.889255878413428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28416"/>
        <c:crosses val="autoZero"/>
        <c:crossBetween val="midCat"/>
      </c:valAx>
      <c:valAx>
        <c:axId val="65628416"/>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26880"/>
        <c:crosses val="autoZero"/>
        <c:crossBetween val="midCat"/>
      </c:valAx>
      <c:spPr>
        <a:solidFill>
          <a:srgbClr val="FFFFFF"/>
        </a:solidFill>
        <a:ln w="12700">
          <a:solidFill>
            <a:srgbClr val="808080"/>
          </a:solidFill>
          <a:prstDash val="solid"/>
        </a:ln>
      </c:spPr>
    </c:plotArea>
    <c:legend>
      <c:legendPos val="r"/>
      <c:layout>
        <c:manualLayout>
          <c:xMode val="edge"/>
          <c:yMode val="edge"/>
          <c:x val="0.45398223299010698"/>
          <c:y val="1.7489296138867596E-2"/>
          <c:w val="0.48373874419543705"/>
          <c:h val="0.2066309742255669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1.9762971936200281E-2"/>
          <c:y val="8.3333717057297668E-2"/>
        </c:manualLayout>
      </c:layout>
      <c:overlay val="0"/>
      <c:spPr>
        <a:noFill/>
        <a:ln w="25400">
          <a:noFill/>
        </a:ln>
      </c:spPr>
    </c:title>
    <c:autoTitleDeleted val="0"/>
    <c:plotArea>
      <c:layout>
        <c:manualLayout>
          <c:layoutTarget val="inner"/>
          <c:xMode val="edge"/>
          <c:yMode val="edge"/>
          <c:x val="0.15027982226601655"/>
          <c:y val="0.24870536931043882"/>
          <c:w val="0.80353700885094559"/>
          <c:h val="0.62375424299502491"/>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Sheet1!$U$52:$U$71</c:f>
              <c:numCache>
                <c:formatCode>General</c:formatCode>
                <c:ptCount val="20"/>
                <c:pt idx="0">
                  <c:v>8.9</c:v>
                </c:pt>
                <c:pt idx="1">
                  <c:v>11.4</c:v>
                </c:pt>
                <c:pt idx="2">
                  <c:v>9.8000000000000007</c:v>
                </c:pt>
                <c:pt idx="3">
                  <c:v>5.2</c:v>
                </c:pt>
                <c:pt idx="4">
                  <c:v>8.4</c:v>
                </c:pt>
                <c:pt idx="5">
                  <c:v>11</c:v>
                </c:pt>
                <c:pt idx="6">
                  <c:v>5.6</c:v>
                </c:pt>
                <c:pt idx="7">
                  <c:v>12.3</c:v>
                </c:pt>
                <c:pt idx="8">
                  <c:v>7.2</c:v>
                </c:pt>
                <c:pt idx="9">
                  <c:v>14.3</c:v>
                </c:pt>
                <c:pt idx="10">
                  <c:v>5.7</c:v>
                </c:pt>
                <c:pt idx="11">
                  <c:v>13.9</c:v>
                </c:pt>
                <c:pt idx="12">
                  <c:v>5.9</c:v>
                </c:pt>
                <c:pt idx="13">
                  <c:v>13.1</c:v>
                </c:pt>
                <c:pt idx="14">
                  <c:v>8.6999999999999993</c:v>
                </c:pt>
                <c:pt idx="15">
                  <c:v>4.5999999999999996</c:v>
                </c:pt>
                <c:pt idx="16">
                  <c:v>12.4</c:v>
                </c:pt>
                <c:pt idx="17">
                  <c:v>13.1</c:v>
                </c:pt>
                <c:pt idx="18">
                  <c:v>9.5</c:v>
                </c:pt>
                <c:pt idx="19">
                  <c:v>6.6</c:v>
                </c:pt>
              </c:numCache>
            </c:numRef>
          </c:xVal>
          <c:yVal>
            <c:numRef>
              <c:f>Sheet1!$AF$52:$AF$71</c:f>
              <c:numCache>
                <c:formatCode>0.0</c:formatCode>
                <c:ptCount val="20"/>
                <c:pt idx="0">
                  <c:v>-1.6324025070316759</c:v>
                </c:pt>
                <c:pt idx="1">
                  <c:v>2.0013081493601179</c:v>
                </c:pt>
                <c:pt idx="2">
                  <c:v>-0.12583567916713437</c:v>
                </c:pt>
                <c:pt idx="3">
                  <c:v>0.35173265798112563</c:v>
                </c:pt>
                <c:pt idx="4">
                  <c:v>2.1034328731824474</c:v>
                </c:pt>
                <c:pt idx="5">
                  <c:v>2.2430078383908385</c:v>
                </c:pt>
                <c:pt idx="6">
                  <c:v>0.7304553712880183</c:v>
                </c:pt>
                <c:pt idx="7">
                  <c:v>0.97896480390612373</c:v>
                </c:pt>
                <c:pt idx="8">
                  <c:v>3.5669069961992519</c:v>
                </c:pt>
                <c:pt idx="9">
                  <c:v>2.4138471307999199</c:v>
                </c:pt>
                <c:pt idx="10">
                  <c:v>1.7299750962259512</c:v>
                </c:pt>
                <c:pt idx="11">
                  <c:v>0.15429102590085664</c:v>
                </c:pt>
                <c:pt idx="12">
                  <c:v>-0.99575670306182906</c:v>
                </c:pt>
                <c:pt idx="13">
                  <c:v>-3.6389442679578949</c:v>
                </c:pt>
                <c:pt idx="14">
                  <c:v>3.3035252370711072</c:v>
                </c:pt>
                <c:pt idx="15">
                  <c:v>-0.19210102475210489</c:v>
                </c:pt>
                <c:pt idx="16">
                  <c:v>-0.7520484810586664</c:v>
                </c:pt>
                <c:pt idx="17">
                  <c:v>0.24538465876925092</c:v>
                </c:pt>
                <c:pt idx="18">
                  <c:v>1.755952055355871</c:v>
                </c:pt>
                <c:pt idx="19">
                  <c:v>-0.91762883042198928</c:v>
                </c:pt>
              </c:numCache>
            </c:numRef>
          </c:yVal>
          <c:smooth val="0"/>
          <c:extLst>
            <c:ext xmlns:c16="http://schemas.microsoft.com/office/drawing/2014/chart" uri="{C3380CC4-5D6E-409C-BE32-E72D297353CC}">
              <c16:uniqueId val="{00000000-DE03-4ABF-99D0-FBBBDD6E0005}"/>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Sheet1!$U$85:$U$104</c:f>
              <c:numCache>
                <c:formatCode>General</c:formatCode>
                <c:ptCount val="20"/>
                <c:pt idx="0">
                  <c:v>15.9</c:v>
                </c:pt>
                <c:pt idx="1">
                  <c:v>11.5</c:v>
                </c:pt>
                <c:pt idx="2">
                  <c:v>5.0999999999999996</c:v>
                </c:pt>
                <c:pt idx="3">
                  <c:v>9.5</c:v>
                </c:pt>
                <c:pt idx="4">
                  <c:v>7.9</c:v>
                </c:pt>
                <c:pt idx="5">
                  <c:v>7.2</c:v>
                </c:pt>
                <c:pt idx="6">
                  <c:v>9.5</c:v>
                </c:pt>
                <c:pt idx="7">
                  <c:v>14.7</c:v>
                </c:pt>
                <c:pt idx="8">
                  <c:v>11</c:v>
                </c:pt>
                <c:pt idx="9">
                  <c:v>17.7</c:v>
                </c:pt>
                <c:pt idx="10">
                  <c:v>4.2</c:v>
                </c:pt>
                <c:pt idx="11">
                  <c:v>11.7</c:v>
                </c:pt>
                <c:pt idx="12">
                  <c:v>7.7</c:v>
                </c:pt>
                <c:pt idx="13">
                  <c:v>11.6</c:v>
                </c:pt>
                <c:pt idx="14">
                  <c:v>4.9000000000000004</c:v>
                </c:pt>
                <c:pt idx="15">
                  <c:v>6.3</c:v>
                </c:pt>
                <c:pt idx="16">
                  <c:v>0.5</c:v>
                </c:pt>
                <c:pt idx="17">
                  <c:v>9.8000000000000007</c:v>
                </c:pt>
                <c:pt idx="18">
                  <c:v>17.5</c:v>
                </c:pt>
                <c:pt idx="19">
                  <c:v>10.1</c:v>
                </c:pt>
              </c:numCache>
            </c:numRef>
          </c:xVal>
          <c:yVal>
            <c:numRef>
              <c:f>Sheet1!$AF$85:$AF$104</c:f>
              <c:numCache>
                <c:formatCode>0.0</c:formatCode>
                <c:ptCount val="20"/>
                <c:pt idx="0">
                  <c:v>-0.33120641429438369</c:v>
                </c:pt>
                <c:pt idx="1">
                  <c:v>-3.618137260078047</c:v>
                </c:pt>
                <c:pt idx="2">
                  <c:v>5.1535770837996573</c:v>
                </c:pt>
                <c:pt idx="3">
                  <c:v>4.8789779216646973</c:v>
                </c:pt>
                <c:pt idx="4">
                  <c:v>3.4118373916447355</c:v>
                </c:pt>
                <c:pt idx="5">
                  <c:v>2.505784987060157</c:v>
                </c:pt>
                <c:pt idx="6">
                  <c:v>1.3675021462918333</c:v>
                </c:pt>
                <c:pt idx="7">
                  <c:v>-0.52113797317333765</c:v>
                </c:pt>
                <c:pt idx="8">
                  <c:v>1.9271164354690618</c:v>
                </c:pt>
                <c:pt idx="9">
                  <c:v>0.69386606803656814</c:v>
                </c:pt>
                <c:pt idx="10">
                  <c:v>2.4859670809057954</c:v>
                </c:pt>
                <c:pt idx="11">
                  <c:v>-0.59232705591200185</c:v>
                </c:pt>
                <c:pt idx="12">
                  <c:v>5.6609069506550309</c:v>
                </c:pt>
                <c:pt idx="13">
                  <c:v>2.5873497938007444</c:v>
                </c:pt>
                <c:pt idx="14">
                  <c:v>6.6215318164205108</c:v>
                </c:pt>
                <c:pt idx="15">
                  <c:v>3.5908184294703083</c:v>
                </c:pt>
                <c:pt idx="16">
                  <c:v>7.7188170053512932</c:v>
                </c:pt>
                <c:pt idx="17">
                  <c:v>-0.15746279606548866</c:v>
                </c:pt>
                <c:pt idx="18">
                  <c:v>-0.16089018685709805</c:v>
                </c:pt>
                <c:pt idx="19">
                  <c:v>3.2105393024434439</c:v>
                </c:pt>
              </c:numCache>
            </c:numRef>
          </c:yVal>
          <c:smooth val="0"/>
          <c:extLst>
            <c:ext xmlns:c16="http://schemas.microsoft.com/office/drawing/2014/chart" uri="{C3380CC4-5D6E-409C-BE32-E72D297353CC}">
              <c16:uniqueId val="{00000001-DE03-4ABF-99D0-FBBBDD6E0005}"/>
            </c:ext>
          </c:extLst>
        </c:ser>
        <c:ser>
          <c:idx val="2"/>
          <c:order val="2"/>
          <c:tx>
            <c:strRef>
              <c:f>Sheet1!$AF$119</c:f>
              <c:strCache>
                <c:ptCount val="1"/>
                <c:pt idx="0">
                  <c:v>Value of X1</c:v>
                </c:pt>
              </c:strCache>
            </c:strRef>
          </c:tx>
          <c:spPr>
            <a:ln w="12700">
              <a:solidFill>
                <a:srgbClr val="000000"/>
              </a:solidFill>
              <a:prstDash val="sysDash"/>
            </a:ln>
          </c:spPr>
          <c:marker>
            <c:symbol val="none"/>
          </c:marker>
          <c:xVal>
            <c:numRef>
              <c:f>Sheet1!$AF$122:$AF$123</c:f>
              <c:numCache>
                <c:formatCode>0.00</c:formatCode>
                <c:ptCount val="2"/>
                <c:pt idx="0">
                  <c:v>9.5474999999999994</c:v>
                </c:pt>
                <c:pt idx="1">
                  <c:v>9.5474999999999994</c:v>
                </c:pt>
              </c:numCache>
            </c:numRef>
          </c:xVal>
          <c:yVal>
            <c:numRef>
              <c:f>Sheet1!$AF$120:$AF$121</c:f>
              <c:numCache>
                <c:formatCode>0.00</c:formatCode>
                <c:ptCount val="2"/>
                <c:pt idx="0">
                  <c:v>7.7188170053512932</c:v>
                </c:pt>
                <c:pt idx="1">
                  <c:v>-3.6389442679578949</c:v>
                </c:pt>
              </c:numCache>
            </c:numRef>
          </c:yVal>
          <c:smooth val="0"/>
          <c:extLst>
            <c:ext xmlns:c16="http://schemas.microsoft.com/office/drawing/2014/chart" uri="{C3380CC4-5D6E-409C-BE32-E72D297353CC}">
              <c16:uniqueId val="{00000002-DE03-4ABF-99D0-FBBBDD6E0005}"/>
            </c:ext>
          </c:extLst>
        </c:ser>
        <c:dLbls>
          <c:showLegendKey val="0"/>
          <c:showVal val="0"/>
          <c:showCatName val="0"/>
          <c:showSerName val="0"/>
          <c:showPercent val="0"/>
          <c:showBubbleSize val="0"/>
        </c:dLbls>
        <c:axId val="65652608"/>
        <c:axId val="65654784"/>
      </c:scatterChart>
      <c:valAx>
        <c:axId val="65652608"/>
        <c:scaling>
          <c:orientation val="minMax"/>
        </c:scaling>
        <c:delete val="0"/>
        <c:axPos val="b"/>
        <c:title>
          <c:tx>
            <c:rich>
              <a:bodyPr/>
              <a:lstStyle/>
              <a:p>
                <a:pPr>
                  <a:defRPr/>
                </a:pPr>
                <a:r>
                  <a:rPr lang="en-US"/>
                  <a:t>Predictor</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54784"/>
        <c:crosses val="autoZero"/>
        <c:crossBetween val="midCat"/>
      </c:valAx>
      <c:valAx>
        <c:axId val="65654784"/>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52608"/>
        <c:crosses val="autoZero"/>
        <c:crossBetween val="midCat"/>
      </c:valAx>
      <c:spPr>
        <a:solidFill>
          <a:srgbClr val="FFFFFF"/>
        </a:solidFill>
        <a:ln w="12700">
          <a:solidFill>
            <a:srgbClr val="808080"/>
          </a:solidFill>
          <a:prstDash val="solid"/>
        </a:ln>
      </c:spPr>
    </c:plotArea>
    <c:legend>
      <c:legendPos val="r"/>
      <c:layout>
        <c:manualLayout>
          <c:xMode val="edge"/>
          <c:yMode val="edge"/>
          <c:x val="0.44986715122148196"/>
          <c:y val="1.9012754984574297E-2"/>
          <c:w val="0.49914435695538056"/>
          <c:h val="0.21001903270863073"/>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1.9762971936200281E-2"/>
          <c:y val="8.6956678492111569E-2"/>
        </c:manualLayout>
      </c:layout>
      <c:overlay val="0"/>
      <c:spPr>
        <a:noFill/>
        <a:ln w="25400">
          <a:noFill/>
        </a:ln>
      </c:spPr>
    </c:title>
    <c:autoTitleDeleted val="0"/>
    <c:plotArea>
      <c:layout>
        <c:manualLayout>
          <c:layoutTarget val="inner"/>
          <c:xMode val="edge"/>
          <c:yMode val="edge"/>
          <c:x val="0.15027982226601655"/>
          <c:y val="0.24498166172560606"/>
          <c:w val="0.80353700885094559"/>
          <c:h val="0.63074894302614681"/>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inear"/>
            <c:dispRSqr val="0"/>
            <c:dispEq val="0"/>
          </c:trendline>
          <c:xVal>
            <c:numRef>
              <c:f>Sheet1!$V$52:$V$71</c:f>
              <c:numCache>
                <c:formatCode>General</c:formatCode>
                <c:ptCount val="20"/>
                <c:pt idx="0">
                  <c:v>598.85561673118104</c:v>
                </c:pt>
                <c:pt idx="1">
                  <c:v>597.39325499621032</c:v>
                </c:pt>
                <c:pt idx="2">
                  <c:v>599.18832155258042</c:v>
                </c:pt>
                <c:pt idx="3">
                  <c:v>600.16703023662899</c:v>
                </c:pt>
                <c:pt idx="4">
                  <c:v>600.83213922483992</c:v>
                </c:pt>
                <c:pt idx="5">
                  <c:v>597.87562817050093</c:v>
                </c:pt>
                <c:pt idx="6">
                  <c:v>599.9038146981402</c:v>
                </c:pt>
                <c:pt idx="7">
                  <c:v>598.73190342271801</c:v>
                </c:pt>
                <c:pt idx="8">
                  <c:v>598.28020331919356</c:v>
                </c:pt>
                <c:pt idx="9">
                  <c:v>602.36596908556112</c:v>
                </c:pt>
                <c:pt idx="10">
                  <c:v>600.22422980470833</c:v>
                </c:pt>
                <c:pt idx="11">
                  <c:v>596.31093267752294</c:v>
                </c:pt>
                <c:pt idx="12">
                  <c:v>601.22451677130198</c:v>
                </c:pt>
                <c:pt idx="13">
                  <c:v>596.78008049043729</c:v>
                </c:pt>
                <c:pt idx="14">
                  <c:v>597.93212425662568</c:v>
                </c:pt>
                <c:pt idx="15">
                  <c:v>604.84278517047096</c:v>
                </c:pt>
                <c:pt idx="16">
                  <c:v>596.97931735709335</c:v>
                </c:pt>
                <c:pt idx="17">
                  <c:v>599.12887349516905</c:v>
                </c:pt>
                <c:pt idx="18">
                  <c:v>601.30721114524977</c:v>
                </c:pt>
                <c:pt idx="19">
                  <c:v>602.67110200143156</c:v>
                </c:pt>
              </c:numCache>
            </c:numRef>
          </c:xVal>
          <c:yVal>
            <c:numRef>
              <c:f>Sheet1!$AG$52:$AG$71</c:f>
              <c:numCache>
                <c:formatCode>0.0</c:formatCode>
                <c:ptCount val="20"/>
                <c:pt idx="0">
                  <c:v>-1.5733390377421042</c:v>
                </c:pt>
                <c:pt idx="1">
                  <c:v>2.4649495387738254</c:v>
                </c:pt>
                <c:pt idx="2">
                  <c:v>-0.10819164123601638</c:v>
                </c:pt>
                <c:pt idx="3">
                  <c:v>-2.2775988757120225E-3</c:v>
                </c:pt>
                <c:pt idx="4">
                  <c:v>1.7149053568595285</c:v>
                </c:pt>
                <c:pt idx="5">
                  <c:v>2.5878325960788819</c:v>
                </c:pt>
                <c:pt idx="6">
                  <c:v>0.44754362192058667</c:v>
                </c:pt>
                <c:pt idx="7">
                  <c:v>1.1821583820119135</c:v>
                </c:pt>
                <c:pt idx="8">
                  <c:v>3.6926609332446101</c:v>
                </c:pt>
                <c:pt idx="9">
                  <c:v>1.8947174780330132</c:v>
                </c:pt>
                <c:pt idx="10">
                  <c:v>1.3807448699857297</c:v>
                </c:pt>
                <c:pt idx="11">
                  <c:v>0.93976273682304967</c:v>
                </c:pt>
                <c:pt idx="12">
                  <c:v>-1.5558899309372494</c:v>
                </c:pt>
                <c:pt idx="13">
                  <c:v>-2.98319704327406</c:v>
                </c:pt>
                <c:pt idx="14">
                  <c:v>3.5567709165968635</c:v>
                </c:pt>
                <c:pt idx="15">
                  <c:v>-1.5848644948579989</c:v>
                </c:pt>
                <c:pt idx="16">
                  <c:v>-0.16381001703572423</c:v>
                </c:pt>
                <c:pt idx="17">
                  <c:v>0.38971919187616832</c:v>
                </c:pt>
                <c:pt idx="18">
                  <c:v>1.3019006479943118</c:v>
                </c:pt>
                <c:pt idx="19">
                  <c:v>-1.7686051433199297</c:v>
                </c:pt>
              </c:numCache>
            </c:numRef>
          </c:yVal>
          <c:smooth val="0"/>
          <c:extLst>
            <c:ext xmlns:c16="http://schemas.microsoft.com/office/drawing/2014/chart" uri="{C3380CC4-5D6E-409C-BE32-E72D297353CC}">
              <c16:uniqueId val="{00000000-DCED-469D-9083-988D9A94F3F7}"/>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inear"/>
            <c:dispRSqr val="0"/>
            <c:dispEq val="0"/>
          </c:trendline>
          <c:xVal>
            <c:numRef>
              <c:f>Sheet1!$V$85:$V$104</c:f>
              <c:numCache>
                <c:formatCode>General</c:formatCode>
                <c:ptCount val="20"/>
                <c:pt idx="0">
                  <c:v>598.67012108659571</c:v>
                </c:pt>
                <c:pt idx="1">
                  <c:v>599.65690274939334</c:v>
                </c:pt>
                <c:pt idx="2">
                  <c:v>604.54571436961191</c:v>
                </c:pt>
                <c:pt idx="3">
                  <c:v>598.25464224154507</c:v>
                </c:pt>
                <c:pt idx="4">
                  <c:v>597.60640700991155</c:v>
                </c:pt>
                <c:pt idx="5">
                  <c:v>595.74823557551008</c:v>
                </c:pt>
                <c:pt idx="6">
                  <c:v>598.73577272207308</c:v>
                </c:pt>
                <c:pt idx="7">
                  <c:v>601.59075435635043</c:v>
                </c:pt>
                <c:pt idx="8">
                  <c:v>598.81426930401403</c:v>
                </c:pt>
                <c:pt idx="9">
                  <c:v>596.306454336451</c:v>
                </c:pt>
                <c:pt idx="10">
                  <c:v>596.29363890525212</c:v>
                </c:pt>
                <c:pt idx="11">
                  <c:v>598.08763493661127</c:v>
                </c:pt>
                <c:pt idx="12">
                  <c:v>597.56935421086507</c:v>
                </c:pt>
                <c:pt idx="13">
                  <c:v>601.42819642103086</c:v>
                </c:pt>
                <c:pt idx="14">
                  <c:v>597.75254479216403</c:v>
                </c:pt>
                <c:pt idx="15">
                  <c:v>598.93932314276481</c:v>
                </c:pt>
                <c:pt idx="16">
                  <c:v>595.41246620007496</c:v>
                </c:pt>
                <c:pt idx="17">
                  <c:v>599.50559926882931</c:v>
                </c:pt>
                <c:pt idx="18">
                  <c:v>599.09478739988072</c:v>
                </c:pt>
                <c:pt idx="19">
                  <c:v>604.16748580825379</c:v>
                </c:pt>
              </c:numCache>
            </c:numRef>
          </c:xVal>
          <c:yVal>
            <c:numRef>
              <c:f>Sheet1!$AG$85:$AG$104</c:f>
              <c:numCache>
                <c:formatCode>0.0</c:formatCode>
                <c:ptCount val="20"/>
                <c:pt idx="0">
                  <c:v>2.7502237813621746</c:v>
                </c:pt>
                <c:pt idx="1">
                  <c:v>-2.8376071198801225</c:v>
                </c:pt>
                <c:pt idx="2">
                  <c:v>1.6276229127570865</c:v>
                </c:pt>
                <c:pt idx="3">
                  <c:v>5.1279783462330304</c:v>
                </c:pt>
                <c:pt idx="4">
                  <c:v>3.1040087530959415</c:v>
                </c:pt>
                <c:pt idx="5">
                  <c:v>2.3919139157402118</c:v>
                </c:pt>
                <c:pt idx="6">
                  <c:v>1.4827971160266402</c:v>
                </c:pt>
                <c:pt idx="7">
                  <c:v>1.1959230083155417</c:v>
                </c:pt>
                <c:pt idx="8">
                  <c:v>2.7115092106992966</c:v>
                </c:pt>
                <c:pt idx="9">
                  <c:v>5.26125005519234</c:v>
                </c:pt>
                <c:pt idx="10">
                  <c:v>0.83870544326728469</c:v>
                </c:pt>
                <c:pt idx="11">
                  <c:v>0.71642189310885862</c:v>
                </c:pt>
                <c:pt idx="12">
                  <c:v>5.271253645216075</c:v>
                </c:pt>
                <c:pt idx="13">
                  <c:v>2.9217008134203635</c:v>
                </c:pt>
                <c:pt idx="14">
                  <c:v>4.8912679215718873</c:v>
                </c:pt>
                <c:pt idx="15">
                  <c:v>2.1756016694964107</c:v>
                </c:pt>
                <c:pt idx="16">
                  <c:v>4.6121826401558446</c:v>
                </c:pt>
                <c:pt idx="17">
                  <c:v>-0.11791911642366987</c:v>
                </c:pt>
                <c:pt idx="18">
                  <c:v>3.5394985464026414</c:v>
                </c:pt>
                <c:pt idx="19">
                  <c:v>2.0927339287660023</c:v>
                </c:pt>
              </c:numCache>
            </c:numRef>
          </c:yVal>
          <c:smooth val="0"/>
          <c:extLst>
            <c:ext xmlns:c16="http://schemas.microsoft.com/office/drawing/2014/chart" uri="{C3380CC4-5D6E-409C-BE32-E72D297353CC}">
              <c16:uniqueId val="{00000001-DCED-469D-9083-988D9A94F3F7}"/>
            </c:ext>
          </c:extLst>
        </c:ser>
        <c:ser>
          <c:idx val="2"/>
          <c:order val="2"/>
          <c:tx>
            <c:strRef>
              <c:f>Sheet1!$AG$119</c:f>
              <c:strCache>
                <c:ptCount val="1"/>
                <c:pt idx="0">
                  <c:v>Value of X2</c:v>
                </c:pt>
              </c:strCache>
            </c:strRef>
          </c:tx>
          <c:spPr>
            <a:ln w="12700">
              <a:solidFill>
                <a:srgbClr val="000000"/>
              </a:solidFill>
              <a:prstDash val="sysDash"/>
            </a:ln>
          </c:spPr>
          <c:marker>
            <c:symbol val="none"/>
          </c:marker>
          <c:xVal>
            <c:numRef>
              <c:f>Sheet1!$AG$122:$AG$123</c:f>
              <c:numCache>
                <c:formatCode>0.00</c:formatCode>
                <c:ptCount val="2"/>
                <c:pt idx="0">
                  <c:v>599.22938398611871</c:v>
                </c:pt>
                <c:pt idx="1">
                  <c:v>599.22938398611871</c:v>
                </c:pt>
              </c:numCache>
            </c:numRef>
          </c:xVal>
          <c:yVal>
            <c:numRef>
              <c:f>Sheet1!$AG$120:$AG$121</c:f>
              <c:numCache>
                <c:formatCode>0.00</c:formatCode>
                <c:ptCount val="2"/>
                <c:pt idx="0">
                  <c:v>5.271253645216075</c:v>
                </c:pt>
                <c:pt idx="1">
                  <c:v>-2.98319704327406</c:v>
                </c:pt>
              </c:numCache>
            </c:numRef>
          </c:yVal>
          <c:smooth val="0"/>
          <c:extLst>
            <c:ext xmlns:c16="http://schemas.microsoft.com/office/drawing/2014/chart" uri="{C3380CC4-5D6E-409C-BE32-E72D297353CC}">
              <c16:uniqueId val="{00000002-DCED-469D-9083-988D9A94F3F7}"/>
            </c:ext>
          </c:extLst>
        </c:ser>
        <c:dLbls>
          <c:showLegendKey val="0"/>
          <c:showVal val="0"/>
          <c:showCatName val="0"/>
          <c:showSerName val="0"/>
          <c:showPercent val="0"/>
          <c:showBubbleSize val="0"/>
        </c:dLbls>
        <c:axId val="65801600"/>
        <c:axId val="65820160"/>
      </c:scatterChart>
      <c:valAx>
        <c:axId val="65801600"/>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8114031899858672"/>
              <c:y val="0.887974099391422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820160"/>
        <c:crosses val="autoZero"/>
        <c:crossBetween val="midCat"/>
      </c:valAx>
      <c:valAx>
        <c:axId val="65820160"/>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801600"/>
        <c:crosses val="autoZero"/>
        <c:crossBetween val="midCat"/>
      </c:valAx>
      <c:spPr>
        <a:solidFill>
          <a:srgbClr val="FFFFFF"/>
        </a:solidFill>
        <a:ln w="12700">
          <a:solidFill>
            <a:srgbClr val="808080"/>
          </a:solidFill>
          <a:prstDash val="solid"/>
        </a:ln>
      </c:spPr>
    </c:plotArea>
    <c:legend>
      <c:legendPos val="r"/>
      <c:layout>
        <c:manualLayout>
          <c:xMode val="edge"/>
          <c:yMode val="edge"/>
          <c:x val="0.44349404401372905"/>
          <c:y val="1.1990929018488073E-2"/>
          <c:w val="0.49424793054714311"/>
          <c:h val="0.21558290790574255"/>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1.968503937007874E-2"/>
          <c:y val="8.5366395732791464E-2"/>
        </c:manualLayout>
      </c:layout>
      <c:overlay val="0"/>
      <c:spPr>
        <a:noFill/>
        <a:ln w="25400">
          <a:noFill/>
        </a:ln>
      </c:spPr>
    </c:title>
    <c:autoTitleDeleted val="0"/>
    <c:plotArea>
      <c:layout>
        <c:manualLayout>
          <c:layoutTarget val="inner"/>
          <c:xMode val="edge"/>
          <c:yMode val="edge"/>
          <c:x val="0.18110236220472442"/>
          <c:y val="0.18873702745280618"/>
          <c:w val="0.79133858267716539"/>
          <c:h val="0.66248402962369457"/>
        </c:manualLayout>
      </c:layout>
      <c:lineChart>
        <c:grouping val="standard"/>
        <c:varyColors val="0"/>
        <c:ser>
          <c:idx val="0"/>
          <c:order val="0"/>
          <c:tx>
            <c:strRef>
              <c:f>Sheet1!$V$16</c:f>
              <c:strCache>
                <c:ptCount val="1"/>
                <c:pt idx="0">
                  <c:v>Control</c:v>
                </c:pt>
              </c:strCache>
            </c:strRef>
          </c:tx>
          <c:spPr>
            <a:ln w="3175">
              <a:solidFill>
                <a:srgbClr val="3366FF"/>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Sheet1!$W$19:$AA$19</c:f>
                <c:numCache>
                  <c:formatCode>General</c:formatCode>
                  <c:ptCount val="5"/>
                  <c:pt idx="0">
                    <c:v>9.9679209150364478</c:v>
                  </c:pt>
                  <c:pt idx="1">
                    <c:v>9.3488121958719628</c:v>
                  </c:pt>
                  <c:pt idx="2">
                    <c:v>10.084297329590154</c:v>
                  </c:pt>
                  <c:pt idx="3">
                    <c:v>8.2637110944557737</c:v>
                  </c:pt>
                  <c:pt idx="4">
                    <c:v>10.809658205804471</c:v>
                  </c:pt>
                </c:numCache>
              </c:numRef>
            </c:plus>
            <c:minus>
              <c:numRef>
                <c:f>Sheet1!$W$20:$AA$20</c:f>
                <c:numCache>
                  <c:formatCode>General</c:formatCode>
                  <c:ptCount val="5"/>
                  <c:pt idx="0">
                    <c:v>9.9679209150364478</c:v>
                  </c:pt>
                  <c:pt idx="1">
                    <c:v>9.3488121958719628</c:v>
                  </c:pt>
                  <c:pt idx="2">
                    <c:v>10.084297329590154</c:v>
                  </c:pt>
                  <c:pt idx="3">
                    <c:v>8.2637110944557737</c:v>
                  </c:pt>
                  <c:pt idx="4">
                    <c:v>10.809658205804471</c:v>
                  </c:pt>
                </c:numCache>
              </c:numRef>
            </c:minus>
            <c:spPr>
              <a:ln w="12700">
                <a:solidFill>
                  <a:srgbClr val="000000"/>
                </a:solidFill>
                <a:prstDash val="solid"/>
              </a:ln>
            </c:spPr>
          </c:errBars>
          <c:cat>
            <c:strRef>
              <c:f>Sheet1!$W$15:$AA$15</c:f>
              <c:strCache>
                <c:ptCount val="5"/>
                <c:pt idx="0">
                  <c:v>Pre1</c:v>
                </c:pt>
                <c:pt idx="1">
                  <c:v>Pre2</c:v>
                </c:pt>
                <c:pt idx="2">
                  <c:v>Post1</c:v>
                </c:pt>
                <c:pt idx="3">
                  <c:v>Post2</c:v>
                </c:pt>
                <c:pt idx="4">
                  <c:v>Post3</c:v>
                </c:pt>
              </c:strCache>
            </c:strRef>
          </c:cat>
          <c:val>
            <c:numRef>
              <c:f>Sheet1!$W$18:$AA$18</c:f>
              <c:numCache>
                <c:formatCode>0.00</c:formatCode>
                <c:ptCount val="5"/>
                <c:pt idx="0">
                  <c:v>399.995</c:v>
                </c:pt>
                <c:pt idx="1">
                  <c:v>403.46499999999997</c:v>
                </c:pt>
                <c:pt idx="2">
                  <c:v>404.14</c:v>
                </c:pt>
                <c:pt idx="3">
                  <c:v>401.60500000000002</c:v>
                </c:pt>
                <c:pt idx="4">
                  <c:v>402.48500000000001</c:v>
                </c:pt>
              </c:numCache>
            </c:numRef>
          </c:val>
          <c:smooth val="0"/>
          <c:extLst>
            <c:ext xmlns:c16="http://schemas.microsoft.com/office/drawing/2014/chart" uri="{C3380CC4-5D6E-409C-BE32-E72D297353CC}">
              <c16:uniqueId val="{00000000-DF13-484F-92C8-5213CB76764F}"/>
            </c:ext>
          </c:extLst>
        </c:ser>
        <c:ser>
          <c:idx val="1"/>
          <c:order val="1"/>
          <c:tx>
            <c:strRef>
              <c:f>Sheet1!$V$21</c:f>
              <c:strCache>
                <c:ptCount val="1"/>
                <c:pt idx="0">
                  <c:v>Exptal</c:v>
                </c:pt>
              </c:strCache>
            </c:strRef>
          </c:tx>
          <c:spPr>
            <a:ln w="3175">
              <a:solidFill>
                <a:srgbClr val="FF0000"/>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Sheet1!$W$24:$AA$24</c:f>
                <c:numCache>
                  <c:formatCode>General</c:formatCode>
                  <c:ptCount val="5"/>
                  <c:pt idx="0">
                    <c:v>12.699838374437769</c:v>
                  </c:pt>
                  <c:pt idx="1">
                    <c:v>8.5756693769733108</c:v>
                  </c:pt>
                  <c:pt idx="2">
                    <c:v>12.905347728751828</c:v>
                  </c:pt>
                  <c:pt idx="3">
                    <c:v>11.08790118244111</c:v>
                  </c:pt>
                  <c:pt idx="4">
                    <c:v>9.724265633211747</c:v>
                  </c:pt>
                </c:numCache>
              </c:numRef>
            </c:plus>
            <c:minus>
              <c:numRef>
                <c:f>Sheet1!$W$25:$AA$25</c:f>
                <c:numCache>
                  <c:formatCode>General</c:formatCode>
                  <c:ptCount val="5"/>
                  <c:pt idx="0">
                    <c:v>12.699838374437769</c:v>
                  </c:pt>
                  <c:pt idx="1">
                    <c:v>8.5756693769733108</c:v>
                  </c:pt>
                  <c:pt idx="2">
                    <c:v>12.905347728751828</c:v>
                  </c:pt>
                  <c:pt idx="3">
                    <c:v>11.08790118244111</c:v>
                  </c:pt>
                  <c:pt idx="4">
                    <c:v>9.724265633211747</c:v>
                  </c:pt>
                </c:numCache>
              </c:numRef>
            </c:minus>
            <c:spPr>
              <a:ln w="12700">
                <a:solidFill>
                  <a:srgbClr val="000000"/>
                </a:solidFill>
                <a:prstDash val="solid"/>
              </a:ln>
            </c:spPr>
          </c:errBars>
          <c:cat>
            <c:strRef>
              <c:f>Sheet1!$W$15:$AA$15</c:f>
              <c:strCache>
                <c:ptCount val="5"/>
                <c:pt idx="0">
                  <c:v>Pre1</c:v>
                </c:pt>
                <c:pt idx="1">
                  <c:v>Pre2</c:v>
                </c:pt>
                <c:pt idx="2">
                  <c:v>Post1</c:v>
                </c:pt>
                <c:pt idx="3">
                  <c:v>Post2</c:v>
                </c:pt>
                <c:pt idx="4">
                  <c:v>Post3</c:v>
                </c:pt>
              </c:strCache>
            </c:strRef>
          </c:cat>
          <c:val>
            <c:numRef>
              <c:f>Sheet1!$W$23:$AA$23</c:f>
              <c:numCache>
                <c:formatCode>0.00</c:formatCode>
                <c:ptCount val="5"/>
                <c:pt idx="0">
                  <c:v>400.27999999999992</c:v>
                </c:pt>
                <c:pt idx="1">
                  <c:v>398.1</c:v>
                </c:pt>
                <c:pt idx="2">
                  <c:v>408.97999999999996</c:v>
                </c:pt>
                <c:pt idx="3">
                  <c:v>403.34499999999997</c:v>
                </c:pt>
                <c:pt idx="4">
                  <c:v>403.98500000000001</c:v>
                </c:pt>
              </c:numCache>
            </c:numRef>
          </c:val>
          <c:smooth val="0"/>
          <c:extLst>
            <c:ext xmlns:c16="http://schemas.microsoft.com/office/drawing/2014/chart" uri="{C3380CC4-5D6E-409C-BE32-E72D297353CC}">
              <c16:uniqueId val="{00000001-DF13-484F-92C8-5213CB76764F}"/>
            </c:ext>
          </c:extLst>
        </c:ser>
        <c:dLbls>
          <c:showLegendKey val="0"/>
          <c:showVal val="0"/>
          <c:showCatName val="0"/>
          <c:showSerName val="0"/>
          <c:showPercent val="0"/>
          <c:showBubbleSize val="0"/>
        </c:dLbls>
        <c:marker val="1"/>
        <c:smooth val="0"/>
        <c:axId val="65838464"/>
        <c:axId val="65844736"/>
      </c:lineChart>
      <c:catAx>
        <c:axId val="65838464"/>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Trial</a:t>
                </a:r>
              </a:p>
            </c:rich>
          </c:tx>
          <c:layout>
            <c:manualLayout>
              <c:xMode val="edge"/>
              <c:yMode val="edge"/>
              <c:x val="0.50593369080398687"/>
              <c:y val="0.925320675641351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crossAx val="65844736"/>
        <c:crosses val="autoZero"/>
        <c:auto val="1"/>
        <c:lblAlgn val="ctr"/>
        <c:lblOffset val="100"/>
        <c:tickMarkSkip val="1"/>
        <c:noMultiLvlLbl val="0"/>
      </c:catAx>
      <c:valAx>
        <c:axId val="658447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838464"/>
        <c:crossesAt val="0"/>
        <c:crossBetween val="between"/>
      </c:valAx>
      <c:spPr>
        <a:solidFill>
          <a:srgbClr val="FFFFFF"/>
        </a:solidFill>
        <a:ln w="12700">
          <a:solidFill>
            <a:srgbClr val="808080"/>
          </a:solidFill>
          <a:prstDash val="solid"/>
        </a:ln>
      </c:spPr>
    </c:plotArea>
    <c:legend>
      <c:legendPos val="r"/>
      <c:layout>
        <c:manualLayout>
          <c:xMode val="edge"/>
          <c:yMode val="edge"/>
          <c:x val="0.56748466257668717"/>
          <c:y val="2.4464835040781195E-2"/>
          <c:w val="0.2310331223934432"/>
          <c:h val="0.11151257302514606"/>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4.3307086614173228E-2"/>
          <c:y val="8.1301486447857382E-2"/>
        </c:manualLayout>
      </c:layout>
      <c:overlay val="0"/>
      <c:spPr>
        <a:noFill/>
        <a:ln w="25400">
          <a:noFill/>
        </a:ln>
      </c:spPr>
    </c:title>
    <c:autoTitleDeleted val="0"/>
    <c:plotArea>
      <c:layout>
        <c:manualLayout>
          <c:layoutTarget val="inner"/>
          <c:xMode val="edge"/>
          <c:yMode val="edge"/>
          <c:x val="0.15027977714442137"/>
          <c:y val="0.13396246250923363"/>
          <c:w val="0.82807249003723415"/>
          <c:h val="0.72980059807228492"/>
        </c:manualLayout>
      </c:layout>
      <c:lineChart>
        <c:grouping val="standard"/>
        <c:varyColors val="0"/>
        <c:ser>
          <c:idx val="0"/>
          <c:order val="0"/>
          <c:tx>
            <c:strRef>
              <c:f>Sheet1!$V$30</c:f>
              <c:strCache>
                <c:ptCount val="1"/>
                <c:pt idx="0">
                  <c:v>Control</c:v>
                </c:pt>
              </c:strCache>
            </c:strRef>
          </c:tx>
          <c:spPr>
            <a:ln w="12700">
              <a:solidFill>
                <a:srgbClr val="3366FF"/>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Sheet1!$W$33:$AA$33</c:f>
                <c:numCache>
                  <c:formatCode>General</c:formatCode>
                  <c:ptCount val="5"/>
                  <c:pt idx="0">
                    <c:v>10.056682227583337</c:v>
                  </c:pt>
                  <c:pt idx="1">
                    <c:v>9.4002551719858616</c:v>
                  </c:pt>
                  <c:pt idx="2">
                    <c:v>10.302977393987135</c:v>
                  </c:pt>
                  <c:pt idx="3">
                    <c:v>8.3523486689255151</c:v>
                  </c:pt>
                  <c:pt idx="4">
                    <c:v>10.944027006334863</c:v>
                  </c:pt>
                </c:numCache>
              </c:numRef>
            </c:plus>
            <c:minus>
              <c:numRef>
                <c:f>Sheet1!$W$34:$AA$34</c:f>
                <c:numCache>
                  <c:formatCode>General</c:formatCode>
                  <c:ptCount val="5"/>
                  <c:pt idx="0">
                    <c:v>9.8099673891508701</c:v>
                  </c:pt>
                  <c:pt idx="1">
                    <c:v>9.1861740614833707</c:v>
                  </c:pt>
                  <c:pt idx="2">
                    <c:v>10.046772465281208</c:v>
                  </c:pt>
                  <c:pt idx="3">
                    <c:v>8.1821468563476287</c:v>
                  </c:pt>
                  <c:pt idx="4">
                    <c:v>10.654227233438746</c:v>
                  </c:pt>
                </c:numCache>
              </c:numRef>
            </c:minus>
            <c:spPr>
              <a:ln w="12700">
                <a:solidFill>
                  <a:srgbClr val="000000"/>
                </a:solidFill>
                <a:prstDash val="solid"/>
              </a:ln>
            </c:spPr>
          </c:errBars>
          <c:cat>
            <c:strRef>
              <c:f>Sheet1!$W$29:$AA$29</c:f>
              <c:strCache>
                <c:ptCount val="5"/>
                <c:pt idx="0">
                  <c:v>Pre1</c:v>
                </c:pt>
                <c:pt idx="1">
                  <c:v>Pre2</c:v>
                </c:pt>
                <c:pt idx="2">
                  <c:v>Post1</c:v>
                </c:pt>
                <c:pt idx="3">
                  <c:v>Post2</c:v>
                </c:pt>
                <c:pt idx="4">
                  <c:v>Post3</c:v>
                </c:pt>
              </c:strCache>
            </c:strRef>
          </c:cat>
          <c:val>
            <c:numRef>
              <c:f>Sheet1!$W$32:$AA$32</c:f>
              <c:numCache>
                <c:formatCode>0.0</c:formatCode>
                <c:ptCount val="5"/>
                <c:pt idx="0">
                  <c:v>399.87754819479977</c:v>
                </c:pt>
                <c:pt idx="1">
                  <c:v>403.36291244726436</c:v>
                </c:pt>
                <c:pt idx="2">
                  <c:v>404.01904098860393</c:v>
                </c:pt>
                <c:pt idx="3">
                  <c:v>401.52418102648198</c:v>
                </c:pt>
                <c:pt idx="4">
                  <c:v>402.34728070747678</c:v>
                </c:pt>
              </c:numCache>
            </c:numRef>
          </c:val>
          <c:smooth val="0"/>
          <c:extLst>
            <c:ext xmlns:c16="http://schemas.microsoft.com/office/drawing/2014/chart" uri="{C3380CC4-5D6E-409C-BE32-E72D297353CC}">
              <c16:uniqueId val="{00000000-83E1-4D58-B30A-62FB257BE30E}"/>
            </c:ext>
          </c:extLst>
        </c:ser>
        <c:ser>
          <c:idx val="1"/>
          <c:order val="1"/>
          <c:tx>
            <c:strRef>
              <c:f>Sheet1!$V$35</c:f>
              <c:strCache>
                <c:ptCount val="1"/>
                <c:pt idx="0">
                  <c:v>Exptal</c:v>
                </c:pt>
              </c:strCache>
            </c:strRef>
          </c:tx>
          <c:spPr>
            <a:ln w="12700">
              <a:solidFill>
                <a:srgbClr val="FF0000"/>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Sheet1!$W$38:$AA$38</c:f>
                <c:numCache>
                  <c:formatCode>General</c:formatCode>
                  <c:ptCount val="5"/>
                  <c:pt idx="0">
                    <c:v>12.719088574958562</c:v>
                  </c:pt>
                  <c:pt idx="1">
                    <c:v>8.588824173720468</c:v>
                  </c:pt>
                  <c:pt idx="2">
                    <c:v>13.023884515630925</c:v>
                  </c:pt>
                  <c:pt idx="3">
                    <c:v>11.150033045077691</c:v>
                  </c:pt>
                  <c:pt idx="4">
                    <c:v>9.8371016570886241</c:v>
                  </c:pt>
                </c:numCache>
              </c:numRef>
            </c:plus>
            <c:minus>
              <c:numRef>
                <c:f>Sheet1!$W$39:$AA$39</c:f>
                <c:numCache>
                  <c:formatCode>General</c:formatCode>
                  <c:ptCount val="5"/>
                  <c:pt idx="0">
                    <c:v>12.327201913289457</c:v>
                  </c:pt>
                  <c:pt idx="1">
                    <c:v>8.4073989047359419</c:v>
                  </c:pt>
                  <c:pt idx="2">
                    <c:v>12.621758604504407</c:v>
                  </c:pt>
                  <c:pt idx="3">
                    <c:v>10.849990308134977</c:v>
                  </c:pt>
                  <c:pt idx="4">
                    <c:v>9.6031978560844777</c:v>
                  </c:pt>
                </c:numCache>
              </c:numRef>
            </c:minus>
            <c:spPr>
              <a:ln w="12700">
                <a:solidFill>
                  <a:srgbClr val="000000"/>
                </a:solidFill>
                <a:prstDash val="solid"/>
              </a:ln>
            </c:spPr>
          </c:errBars>
          <c:cat>
            <c:strRef>
              <c:f>Sheet1!$W$29:$AA$29</c:f>
              <c:strCache>
                <c:ptCount val="5"/>
                <c:pt idx="0">
                  <c:v>Pre1</c:v>
                </c:pt>
                <c:pt idx="1">
                  <c:v>Pre2</c:v>
                </c:pt>
                <c:pt idx="2">
                  <c:v>Post1</c:v>
                </c:pt>
                <c:pt idx="3">
                  <c:v>Post2</c:v>
                </c:pt>
                <c:pt idx="4">
                  <c:v>Post3</c:v>
                </c:pt>
              </c:strCache>
            </c:strRef>
          </c:cat>
          <c:val>
            <c:numRef>
              <c:f>Sheet1!$W$37:$AA$37</c:f>
              <c:numCache>
                <c:formatCode>0.0</c:formatCode>
                <c:ptCount val="5"/>
                <c:pt idx="0">
                  <c:v>400.09213977511882</c:v>
                </c:pt>
                <c:pt idx="1">
                  <c:v>398.01330517665417</c:v>
                </c:pt>
                <c:pt idx="2">
                  <c:v>408.78819767845152</c:v>
                </c:pt>
                <c:pt idx="3">
                  <c:v>403.20172955080625</c:v>
                </c:pt>
                <c:pt idx="4">
                  <c:v>403.87387095847151</c:v>
                </c:pt>
              </c:numCache>
            </c:numRef>
          </c:val>
          <c:smooth val="0"/>
          <c:extLst>
            <c:ext xmlns:c16="http://schemas.microsoft.com/office/drawing/2014/chart" uri="{C3380CC4-5D6E-409C-BE32-E72D297353CC}">
              <c16:uniqueId val="{00000001-83E1-4D58-B30A-62FB257BE30E}"/>
            </c:ext>
          </c:extLst>
        </c:ser>
        <c:dLbls>
          <c:showLegendKey val="0"/>
          <c:showVal val="0"/>
          <c:showCatName val="0"/>
          <c:showSerName val="0"/>
          <c:showPercent val="0"/>
          <c:showBubbleSize val="0"/>
        </c:dLbls>
        <c:marker val="1"/>
        <c:smooth val="0"/>
        <c:axId val="65854848"/>
        <c:axId val="66131456"/>
      </c:lineChart>
      <c:catAx>
        <c:axId val="65854848"/>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Trial</a:t>
                </a:r>
              </a:p>
            </c:rich>
          </c:tx>
          <c:layout>
            <c:manualLayout>
              <c:xMode val="edge"/>
              <c:yMode val="edge"/>
              <c:x val="0.47719916912226462"/>
              <c:y val="0.929617863361139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crossAx val="66131456"/>
        <c:crosses val="autoZero"/>
        <c:auto val="1"/>
        <c:lblAlgn val="ctr"/>
        <c:lblOffset val="100"/>
        <c:tickMarkSkip val="1"/>
        <c:noMultiLvlLbl val="0"/>
      </c:catAx>
      <c:valAx>
        <c:axId val="66131456"/>
        <c:scaling>
          <c:logBase val="2"/>
          <c:orientation val="minMax"/>
        </c:scaling>
        <c:delete val="0"/>
        <c:axPos val="l"/>
        <c:numFmt formatCode="0" sourceLinked="0"/>
        <c:majorTickMark val="out"/>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854848"/>
        <c:crosses val="autoZero"/>
        <c:crossBetween val="between"/>
      </c:valAx>
      <c:spPr>
        <a:solidFill>
          <a:srgbClr val="FFFFFF"/>
        </a:solidFill>
        <a:ln w="12700">
          <a:solidFill>
            <a:srgbClr val="808080"/>
          </a:solidFill>
          <a:prstDash val="solid"/>
        </a:ln>
      </c:spPr>
    </c:plotArea>
    <c:legend>
      <c:legendPos val="r"/>
      <c:layout>
        <c:manualLayout>
          <c:xMode val="edge"/>
          <c:yMode val="edge"/>
          <c:x val="0.43558282208588961"/>
          <c:y val="2.7522998362828406E-2"/>
          <c:w val="0.2310331223934432"/>
          <c:h val="0.10293456511005433"/>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1.968503937007874E-2"/>
          <c:y val="8.5366923474188366E-2"/>
        </c:manualLayout>
      </c:layout>
      <c:overlay val="0"/>
      <c:spPr>
        <a:noFill/>
        <a:ln w="25400">
          <a:noFill/>
        </a:ln>
      </c:spPr>
    </c:title>
    <c:autoTitleDeleted val="0"/>
    <c:plotArea>
      <c:layout>
        <c:manualLayout>
          <c:layoutTarget val="inner"/>
          <c:xMode val="edge"/>
          <c:yMode val="edge"/>
          <c:x val="0.18110236220472442"/>
          <c:y val="0.17584568556223845"/>
          <c:w val="0.79133858267716539"/>
          <c:h val="0.6710782575507398"/>
        </c:manualLayout>
      </c:layout>
      <c:scatterChart>
        <c:scatterStyle val="lineMarker"/>
        <c:varyColors val="0"/>
        <c:ser>
          <c:idx val="0"/>
          <c:order val="0"/>
          <c:tx>
            <c:strRef>
              <c:f>Sheet1!$V$16</c:f>
              <c:strCache>
                <c:ptCount val="1"/>
                <c:pt idx="0">
                  <c:v>Control</c:v>
                </c:pt>
              </c:strCache>
            </c:strRef>
          </c:tx>
          <c:spPr>
            <a:ln w="3175">
              <a:solidFill>
                <a:srgbClr val="3366FF"/>
              </a:solidFill>
            </a:ln>
          </c:spPr>
          <c:marker>
            <c:symbol val="circle"/>
            <c:size val="6"/>
            <c:spPr>
              <a:solidFill>
                <a:srgbClr val="3366FF"/>
              </a:solidFill>
              <a:ln>
                <a:solidFill>
                  <a:srgbClr val="000000"/>
                </a:solidFill>
                <a:prstDash val="solid"/>
              </a:ln>
            </c:spPr>
          </c:marker>
          <c:errBars>
            <c:errDir val="y"/>
            <c:errBarType val="both"/>
            <c:errValType val="cust"/>
            <c:noEndCap val="0"/>
            <c:plus>
              <c:numRef>
                <c:f>Sheet1!$W$19:$AA$19</c:f>
                <c:numCache>
                  <c:formatCode>General</c:formatCode>
                  <c:ptCount val="5"/>
                  <c:pt idx="0">
                    <c:v>9.9679209150364478</c:v>
                  </c:pt>
                  <c:pt idx="1">
                    <c:v>9.3488121958719628</c:v>
                  </c:pt>
                  <c:pt idx="2">
                    <c:v>10.084297329590154</c:v>
                  </c:pt>
                  <c:pt idx="3">
                    <c:v>8.2637110944557737</c:v>
                  </c:pt>
                  <c:pt idx="4">
                    <c:v>10.809658205804471</c:v>
                  </c:pt>
                </c:numCache>
              </c:numRef>
            </c:plus>
            <c:minus>
              <c:numRef>
                <c:f>Sheet1!$W$20:$AA$20</c:f>
                <c:numCache>
                  <c:formatCode>General</c:formatCode>
                  <c:ptCount val="5"/>
                  <c:pt idx="0">
                    <c:v>9.9679209150364478</c:v>
                  </c:pt>
                  <c:pt idx="1">
                    <c:v>9.3488121958719628</c:v>
                  </c:pt>
                  <c:pt idx="2">
                    <c:v>10.084297329590154</c:v>
                  </c:pt>
                  <c:pt idx="3">
                    <c:v>8.2637110944557737</c:v>
                  </c:pt>
                  <c:pt idx="4">
                    <c:v>10.809658205804471</c:v>
                  </c:pt>
                </c:numCache>
              </c:numRef>
            </c:minus>
            <c:spPr>
              <a:ln w="12700">
                <a:solidFill>
                  <a:srgbClr val="000000"/>
                </a:solidFill>
                <a:prstDash val="solid"/>
              </a:ln>
            </c:spPr>
          </c:errBars>
          <c:xVal>
            <c:numRef>
              <c:f>Sheet1!$W$17:$AA$17</c:f>
              <c:numCache>
                <c:formatCode>0.0</c:formatCode>
                <c:ptCount val="5"/>
                <c:pt idx="0">
                  <c:v>0.94</c:v>
                </c:pt>
                <c:pt idx="1">
                  <c:v>1.94</c:v>
                </c:pt>
                <c:pt idx="2">
                  <c:v>2.94</c:v>
                </c:pt>
                <c:pt idx="3">
                  <c:v>3.94</c:v>
                </c:pt>
                <c:pt idx="4">
                  <c:v>4.9400000000000004</c:v>
                </c:pt>
              </c:numCache>
            </c:numRef>
          </c:xVal>
          <c:yVal>
            <c:numRef>
              <c:f>Sheet1!$W$18:$AA$18</c:f>
              <c:numCache>
                <c:formatCode>0.00</c:formatCode>
                <c:ptCount val="5"/>
                <c:pt idx="0">
                  <c:v>399.995</c:v>
                </c:pt>
                <c:pt idx="1">
                  <c:v>403.46499999999997</c:v>
                </c:pt>
                <c:pt idx="2">
                  <c:v>404.14</c:v>
                </c:pt>
                <c:pt idx="3">
                  <c:v>401.60500000000002</c:v>
                </c:pt>
                <c:pt idx="4">
                  <c:v>402.48500000000001</c:v>
                </c:pt>
              </c:numCache>
            </c:numRef>
          </c:yVal>
          <c:smooth val="0"/>
          <c:extLst>
            <c:ext xmlns:c16="http://schemas.microsoft.com/office/drawing/2014/chart" uri="{C3380CC4-5D6E-409C-BE32-E72D297353CC}">
              <c16:uniqueId val="{00000000-B45C-42AE-B5EC-656AACACE810}"/>
            </c:ext>
          </c:extLst>
        </c:ser>
        <c:ser>
          <c:idx val="1"/>
          <c:order val="1"/>
          <c:tx>
            <c:strRef>
              <c:f>Sheet1!$V$21</c:f>
              <c:strCache>
                <c:ptCount val="1"/>
                <c:pt idx="0">
                  <c:v>Exptal</c:v>
                </c:pt>
              </c:strCache>
            </c:strRef>
          </c:tx>
          <c:spPr>
            <a:ln w="3175">
              <a:solidFill>
                <a:srgbClr val="FF0000"/>
              </a:solidFill>
            </a:ln>
          </c:spPr>
          <c:marker>
            <c:symbol val="triangle"/>
            <c:size val="6"/>
            <c:spPr>
              <a:solidFill>
                <a:srgbClr val="FF0000"/>
              </a:solidFill>
              <a:ln>
                <a:solidFill>
                  <a:srgbClr val="000000"/>
                </a:solidFill>
                <a:prstDash val="solid"/>
              </a:ln>
            </c:spPr>
          </c:marker>
          <c:errBars>
            <c:errDir val="y"/>
            <c:errBarType val="both"/>
            <c:errValType val="cust"/>
            <c:noEndCap val="0"/>
            <c:plus>
              <c:numRef>
                <c:f>Sheet1!$W$24:$AA$24</c:f>
                <c:numCache>
                  <c:formatCode>General</c:formatCode>
                  <c:ptCount val="5"/>
                  <c:pt idx="0">
                    <c:v>12.699838374437769</c:v>
                  </c:pt>
                  <c:pt idx="1">
                    <c:v>8.5756693769733108</c:v>
                  </c:pt>
                  <c:pt idx="2">
                    <c:v>12.905347728751828</c:v>
                  </c:pt>
                  <c:pt idx="3">
                    <c:v>11.08790118244111</c:v>
                  </c:pt>
                  <c:pt idx="4">
                    <c:v>9.724265633211747</c:v>
                  </c:pt>
                </c:numCache>
              </c:numRef>
            </c:plus>
            <c:minus>
              <c:numRef>
                <c:f>Sheet1!$W$25:$AA$25</c:f>
                <c:numCache>
                  <c:formatCode>General</c:formatCode>
                  <c:ptCount val="5"/>
                  <c:pt idx="0">
                    <c:v>12.699838374437769</c:v>
                  </c:pt>
                  <c:pt idx="1">
                    <c:v>8.5756693769733108</c:v>
                  </c:pt>
                  <c:pt idx="2">
                    <c:v>12.905347728751828</c:v>
                  </c:pt>
                  <c:pt idx="3">
                    <c:v>11.08790118244111</c:v>
                  </c:pt>
                  <c:pt idx="4">
                    <c:v>9.724265633211747</c:v>
                  </c:pt>
                </c:numCache>
              </c:numRef>
            </c:minus>
            <c:spPr>
              <a:ln w="12700">
                <a:solidFill>
                  <a:srgbClr val="000000"/>
                </a:solidFill>
                <a:prstDash val="solid"/>
              </a:ln>
            </c:spPr>
          </c:errBars>
          <c:xVal>
            <c:numRef>
              <c:f>Sheet1!$W$22:$AA$22</c:f>
              <c:numCache>
                <c:formatCode>0.0</c:formatCode>
                <c:ptCount val="5"/>
                <c:pt idx="0">
                  <c:v>1.06</c:v>
                </c:pt>
                <c:pt idx="1">
                  <c:v>2.06</c:v>
                </c:pt>
                <c:pt idx="2">
                  <c:v>3.06</c:v>
                </c:pt>
                <c:pt idx="3">
                  <c:v>4.0599999999999996</c:v>
                </c:pt>
                <c:pt idx="4">
                  <c:v>5.0599999999999996</c:v>
                </c:pt>
              </c:numCache>
            </c:numRef>
          </c:xVal>
          <c:yVal>
            <c:numRef>
              <c:f>Sheet1!$W$23:$AA$23</c:f>
              <c:numCache>
                <c:formatCode>0.00</c:formatCode>
                <c:ptCount val="5"/>
                <c:pt idx="0">
                  <c:v>400.27999999999992</c:v>
                </c:pt>
                <c:pt idx="1">
                  <c:v>398.1</c:v>
                </c:pt>
                <c:pt idx="2">
                  <c:v>408.97999999999996</c:v>
                </c:pt>
                <c:pt idx="3">
                  <c:v>403.34499999999997</c:v>
                </c:pt>
                <c:pt idx="4">
                  <c:v>403.98500000000001</c:v>
                </c:pt>
              </c:numCache>
            </c:numRef>
          </c:yVal>
          <c:smooth val="0"/>
          <c:extLst>
            <c:ext xmlns:c16="http://schemas.microsoft.com/office/drawing/2014/chart" uri="{C3380CC4-5D6E-409C-BE32-E72D297353CC}">
              <c16:uniqueId val="{00000001-B45C-42AE-B5EC-656AACACE810}"/>
            </c:ext>
          </c:extLst>
        </c:ser>
        <c:dLbls>
          <c:showLegendKey val="0"/>
          <c:showVal val="0"/>
          <c:showCatName val="0"/>
          <c:showSerName val="0"/>
          <c:showPercent val="0"/>
          <c:showBubbleSize val="0"/>
        </c:dLbls>
        <c:axId val="67407872"/>
        <c:axId val="67409792"/>
      </c:scatterChart>
      <c:valAx>
        <c:axId val="6740787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49570874192873127"/>
              <c:y val="0.9296174063147767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7409792"/>
        <c:crosses val="autoZero"/>
        <c:crossBetween val="midCat"/>
      </c:valAx>
      <c:valAx>
        <c:axId val="674097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7407872"/>
        <c:crosses val="autoZero"/>
        <c:crossBetween val="midCat"/>
      </c:valAx>
      <c:spPr>
        <a:solidFill>
          <a:srgbClr val="FFFFFF"/>
        </a:solidFill>
        <a:ln w="12700">
          <a:solidFill>
            <a:srgbClr val="808080"/>
          </a:solidFill>
          <a:prstDash val="solid"/>
        </a:ln>
      </c:spPr>
    </c:plotArea>
    <c:legend>
      <c:legendPos val="r"/>
      <c:layout>
        <c:manualLayout>
          <c:xMode val="edge"/>
          <c:yMode val="edge"/>
          <c:x val="0.56748466257668717"/>
          <c:y val="2.4464984329788966E-2"/>
          <c:w val="0.2310331223934432"/>
          <c:h val="0.1127247065814886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4.3307086614173228E-2"/>
          <c:y val="8.1301268064383522E-2"/>
        </c:manualLayout>
      </c:layout>
      <c:overlay val="0"/>
      <c:spPr>
        <a:noFill/>
        <a:ln w="25400">
          <a:noFill/>
        </a:ln>
      </c:spPr>
    </c:title>
    <c:autoTitleDeleted val="0"/>
    <c:plotArea>
      <c:layout>
        <c:manualLayout>
          <c:layoutTarget val="inner"/>
          <c:xMode val="edge"/>
          <c:yMode val="edge"/>
          <c:x val="0.15027982226601655"/>
          <c:y val="0.15443294878837821"/>
          <c:w val="0.82807249003723415"/>
          <c:h val="0.71315509979857172"/>
        </c:manualLayout>
      </c:layout>
      <c:scatterChart>
        <c:scatterStyle val="lineMarker"/>
        <c:varyColors val="0"/>
        <c:ser>
          <c:idx val="0"/>
          <c:order val="0"/>
          <c:tx>
            <c:strRef>
              <c:f>Sheet1!$V$30</c:f>
              <c:strCache>
                <c:ptCount val="1"/>
                <c:pt idx="0">
                  <c:v>Control</c:v>
                </c:pt>
              </c:strCache>
            </c:strRef>
          </c:tx>
          <c:spPr>
            <a:ln w="12700">
              <a:solidFill>
                <a:srgbClr val="000080"/>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Sheet1!$W$33:$AA$33</c:f>
                <c:numCache>
                  <c:formatCode>General</c:formatCode>
                  <c:ptCount val="5"/>
                  <c:pt idx="0">
                    <c:v>10.056682227583337</c:v>
                  </c:pt>
                  <c:pt idx="1">
                    <c:v>9.4002551719858616</c:v>
                  </c:pt>
                  <c:pt idx="2">
                    <c:v>10.302977393987135</c:v>
                  </c:pt>
                  <c:pt idx="3">
                    <c:v>8.3523486689255151</c:v>
                  </c:pt>
                  <c:pt idx="4">
                    <c:v>10.944027006334863</c:v>
                  </c:pt>
                </c:numCache>
              </c:numRef>
            </c:plus>
            <c:minus>
              <c:numRef>
                <c:f>Sheet1!$W$34:$AA$34</c:f>
                <c:numCache>
                  <c:formatCode>General</c:formatCode>
                  <c:ptCount val="5"/>
                  <c:pt idx="0">
                    <c:v>9.8099673891508701</c:v>
                  </c:pt>
                  <c:pt idx="1">
                    <c:v>9.1861740614833707</c:v>
                  </c:pt>
                  <c:pt idx="2">
                    <c:v>10.046772465281208</c:v>
                  </c:pt>
                  <c:pt idx="3">
                    <c:v>8.1821468563476287</c:v>
                  </c:pt>
                  <c:pt idx="4">
                    <c:v>10.654227233438746</c:v>
                  </c:pt>
                </c:numCache>
              </c:numRef>
            </c:minus>
            <c:spPr>
              <a:ln w="12700">
                <a:solidFill>
                  <a:srgbClr val="000000"/>
                </a:solidFill>
                <a:prstDash val="solid"/>
              </a:ln>
            </c:spPr>
          </c:errBars>
          <c:xVal>
            <c:numRef>
              <c:f>Sheet1!$W$31:$AA$31</c:f>
              <c:numCache>
                <c:formatCode>0.0</c:formatCode>
                <c:ptCount val="5"/>
                <c:pt idx="0">
                  <c:v>0.94</c:v>
                </c:pt>
                <c:pt idx="1">
                  <c:v>1.94</c:v>
                </c:pt>
                <c:pt idx="2">
                  <c:v>2.94</c:v>
                </c:pt>
                <c:pt idx="3">
                  <c:v>3.94</c:v>
                </c:pt>
                <c:pt idx="4">
                  <c:v>4.9400000000000004</c:v>
                </c:pt>
              </c:numCache>
            </c:numRef>
          </c:xVal>
          <c:yVal>
            <c:numRef>
              <c:f>Sheet1!$W$32:$AA$32</c:f>
              <c:numCache>
                <c:formatCode>0.0</c:formatCode>
                <c:ptCount val="5"/>
                <c:pt idx="0">
                  <c:v>399.87754819479977</c:v>
                </c:pt>
                <c:pt idx="1">
                  <c:v>403.36291244726436</c:v>
                </c:pt>
                <c:pt idx="2">
                  <c:v>404.01904098860393</c:v>
                </c:pt>
                <c:pt idx="3">
                  <c:v>401.52418102648198</c:v>
                </c:pt>
                <c:pt idx="4">
                  <c:v>402.34728070747678</c:v>
                </c:pt>
              </c:numCache>
            </c:numRef>
          </c:yVal>
          <c:smooth val="0"/>
          <c:extLst>
            <c:ext xmlns:c16="http://schemas.microsoft.com/office/drawing/2014/chart" uri="{C3380CC4-5D6E-409C-BE32-E72D297353CC}">
              <c16:uniqueId val="{00000000-3E16-49D7-AE00-488856B67B38}"/>
            </c:ext>
          </c:extLst>
        </c:ser>
        <c:ser>
          <c:idx val="1"/>
          <c:order val="1"/>
          <c:tx>
            <c:strRef>
              <c:f>Sheet1!$V$35</c:f>
              <c:strCache>
                <c:ptCount val="1"/>
                <c:pt idx="0">
                  <c:v>Exptal</c:v>
                </c:pt>
              </c:strCache>
            </c:strRef>
          </c:tx>
          <c:spPr>
            <a:ln w="12700">
              <a:solidFill>
                <a:srgbClr val="FF00FF"/>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Sheet1!$W$38:$AA$38</c:f>
                <c:numCache>
                  <c:formatCode>General</c:formatCode>
                  <c:ptCount val="5"/>
                  <c:pt idx="0">
                    <c:v>12.719088574958562</c:v>
                  </c:pt>
                  <c:pt idx="1">
                    <c:v>8.588824173720468</c:v>
                  </c:pt>
                  <c:pt idx="2">
                    <c:v>13.023884515630925</c:v>
                  </c:pt>
                  <c:pt idx="3">
                    <c:v>11.150033045077691</c:v>
                  </c:pt>
                  <c:pt idx="4">
                    <c:v>9.8371016570886241</c:v>
                  </c:pt>
                </c:numCache>
              </c:numRef>
            </c:plus>
            <c:minus>
              <c:numRef>
                <c:f>Sheet1!$W$39:$AA$39</c:f>
                <c:numCache>
                  <c:formatCode>General</c:formatCode>
                  <c:ptCount val="5"/>
                  <c:pt idx="0">
                    <c:v>12.327201913289457</c:v>
                  </c:pt>
                  <c:pt idx="1">
                    <c:v>8.4073989047359419</c:v>
                  </c:pt>
                  <c:pt idx="2">
                    <c:v>12.621758604504407</c:v>
                  </c:pt>
                  <c:pt idx="3">
                    <c:v>10.849990308134977</c:v>
                  </c:pt>
                  <c:pt idx="4">
                    <c:v>9.6031978560844777</c:v>
                  </c:pt>
                </c:numCache>
              </c:numRef>
            </c:minus>
            <c:spPr>
              <a:ln w="12700">
                <a:solidFill>
                  <a:srgbClr val="000000"/>
                </a:solidFill>
                <a:prstDash val="solid"/>
              </a:ln>
            </c:spPr>
          </c:errBars>
          <c:xVal>
            <c:numRef>
              <c:f>Sheet1!$W$36:$AA$36</c:f>
              <c:numCache>
                <c:formatCode>0.0</c:formatCode>
                <c:ptCount val="5"/>
                <c:pt idx="0">
                  <c:v>1.06</c:v>
                </c:pt>
                <c:pt idx="1">
                  <c:v>2.06</c:v>
                </c:pt>
                <c:pt idx="2">
                  <c:v>3.06</c:v>
                </c:pt>
                <c:pt idx="3">
                  <c:v>4.0599999999999996</c:v>
                </c:pt>
                <c:pt idx="4">
                  <c:v>5.0599999999999996</c:v>
                </c:pt>
              </c:numCache>
            </c:numRef>
          </c:xVal>
          <c:yVal>
            <c:numRef>
              <c:f>Sheet1!$W$37:$AA$37</c:f>
              <c:numCache>
                <c:formatCode>0.0</c:formatCode>
                <c:ptCount val="5"/>
                <c:pt idx="0">
                  <c:v>400.09213977511882</c:v>
                </c:pt>
                <c:pt idx="1">
                  <c:v>398.01330517665417</c:v>
                </c:pt>
                <c:pt idx="2">
                  <c:v>408.78819767845152</c:v>
                </c:pt>
                <c:pt idx="3">
                  <c:v>403.20172955080625</c:v>
                </c:pt>
                <c:pt idx="4">
                  <c:v>403.87387095847151</c:v>
                </c:pt>
              </c:numCache>
            </c:numRef>
          </c:yVal>
          <c:smooth val="0"/>
          <c:extLst>
            <c:ext xmlns:c16="http://schemas.microsoft.com/office/drawing/2014/chart" uri="{C3380CC4-5D6E-409C-BE32-E72D297353CC}">
              <c16:uniqueId val="{00000001-3E16-49D7-AE00-488856B67B38}"/>
            </c:ext>
          </c:extLst>
        </c:ser>
        <c:dLbls>
          <c:showLegendKey val="0"/>
          <c:showVal val="0"/>
          <c:showCatName val="0"/>
          <c:showSerName val="0"/>
          <c:showPercent val="0"/>
          <c:showBubbleSize val="0"/>
        </c:dLbls>
        <c:axId val="205647872"/>
        <c:axId val="205649792"/>
      </c:scatterChart>
      <c:valAx>
        <c:axId val="20564787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50276154131040363"/>
              <c:y val="0.9369484236157227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05649792"/>
        <c:crosses val="autoZero"/>
        <c:crossBetween val="midCat"/>
      </c:valAx>
      <c:valAx>
        <c:axId val="205649792"/>
        <c:scaling>
          <c:logBase val="2"/>
          <c:orientation val="minMax"/>
        </c:scaling>
        <c:delete val="0"/>
        <c:axPos val="l"/>
        <c:numFmt formatCode="0" sourceLinked="0"/>
        <c:majorTickMark val="out"/>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05647872"/>
        <c:crosses val="autoZero"/>
        <c:crossBetween val="midCat"/>
      </c:valAx>
      <c:spPr>
        <a:solidFill>
          <a:srgbClr val="FFFFFF"/>
        </a:solidFill>
        <a:ln w="12700">
          <a:solidFill>
            <a:srgbClr val="808080"/>
          </a:solidFill>
          <a:prstDash val="solid"/>
        </a:ln>
      </c:spPr>
    </c:plotArea>
    <c:legend>
      <c:legendPos val="r"/>
      <c:layout>
        <c:manualLayout>
          <c:xMode val="edge"/>
          <c:yMode val="edge"/>
          <c:x val="0.43558282208588961"/>
          <c:y val="2.7523321632988648E-2"/>
          <c:w val="0.2310331223934432"/>
          <c:h val="0.10242639850741547"/>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2.3715324046032708E-2"/>
          <c:y val="8.6580405519485509E-2"/>
        </c:manualLayout>
      </c:layout>
      <c:overlay val="0"/>
      <c:spPr>
        <a:noFill/>
        <a:ln w="25400">
          <a:noFill/>
        </a:ln>
      </c:spPr>
    </c:title>
    <c:autoTitleDeleted val="0"/>
    <c:plotArea>
      <c:layout>
        <c:manualLayout>
          <c:layoutTarget val="inner"/>
          <c:xMode val="edge"/>
          <c:yMode val="edge"/>
          <c:x val="0.15027982226601655"/>
          <c:y val="0.27358113393160044"/>
          <c:w val="0.80353700885094559"/>
          <c:h val="0.61604538181625146"/>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exp"/>
            <c:dispRSqr val="0"/>
            <c:dispEq val="0"/>
          </c:trendline>
          <c:xVal>
            <c:numRef>
              <c:f>Sheet1!$U$52:$U$71</c:f>
              <c:numCache>
                <c:formatCode>General</c:formatCode>
                <c:ptCount val="20"/>
                <c:pt idx="0">
                  <c:v>8.9</c:v>
                </c:pt>
                <c:pt idx="1">
                  <c:v>11.4</c:v>
                </c:pt>
                <c:pt idx="2">
                  <c:v>9.8000000000000007</c:v>
                </c:pt>
                <c:pt idx="3">
                  <c:v>5.2</c:v>
                </c:pt>
                <c:pt idx="4">
                  <c:v>8.4</c:v>
                </c:pt>
                <c:pt idx="5">
                  <c:v>11</c:v>
                </c:pt>
                <c:pt idx="6">
                  <c:v>5.6</c:v>
                </c:pt>
                <c:pt idx="7">
                  <c:v>12.3</c:v>
                </c:pt>
                <c:pt idx="8">
                  <c:v>7.2</c:v>
                </c:pt>
                <c:pt idx="9">
                  <c:v>14.3</c:v>
                </c:pt>
                <c:pt idx="10">
                  <c:v>5.7</c:v>
                </c:pt>
                <c:pt idx="11">
                  <c:v>13.9</c:v>
                </c:pt>
                <c:pt idx="12">
                  <c:v>5.9</c:v>
                </c:pt>
                <c:pt idx="13">
                  <c:v>13.1</c:v>
                </c:pt>
                <c:pt idx="14">
                  <c:v>8.6999999999999993</c:v>
                </c:pt>
                <c:pt idx="15">
                  <c:v>4.5999999999999996</c:v>
                </c:pt>
                <c:pt idx="16">
                  <c:v>12.4</c:v>
                </c:pt>
                <c:pt idx="17">
                  <c:v>13.1</c:v>
                </c:pt>
                <c:pt idx="18">
                  <c:v>9.5</c:v>
                </c:pt>
                <c:pt idx="19">
                  <c:v>6.6</c:v>
                </c:pt>
              </c:numCache>
            </c:numRef>
          </c:xVal>
          <c:yVal>
            <c:numRef>
              <c:f>Sheet1!$AI$52:$AI$71</c:f>
              <c:numCache>
                <c:formatCode>0.00</c:formatCode>
                <c:ptCount val="20"/>
                <c:pt idx="0">
                  <c:v>0.98460945804429212</c:v>
                </c:pt>
                <c:pt idx="1">
                  <c:v>1.0243015474964381</c:v>
                </c:pt>
                <c:pt idx="2">
                  <c:v>0.99883173314716156</c:v>
                </c:pt>
                <c:pt idx="3">
                  <c:v>1.0014768389697009</c:v>
                </c:pt>
                <c:pt idx="4">
                  <c:v>1.0176993917831405</c:v>
                </c:pt>
                <c:pt idx="5">
                  <c:v>1.0257024228830991</c:v>
                </c:pt>
                <c:pt idx="6">
                  <c:v>1.0058531501702739</c:v>
                </c:pt>
                <c:pt idx="7">
                  <c:v>1.0109321576977568</c:v>
                </c:pt>
                <c:pt idx="8">
                  <c:v>1.0384567962535385</c:v>
                </c:pt>
                <c:pt idx="9">
                  <c:v>1.0174597208424858</c:v>
                </c:pt>
                <c:pt idx="10">
                  <c:v>1.0152487240966632</c:v>
                </c:pt>
                <c:pt idx="11">
                  <c:v>1.0079286449771128</c:v>
                </c:pt>
                <c:pt idx="12">
                  <c:v>0.98580012835464959</c:v>
                </c:pt>
                <c:pt idx="13">
                  <c:v>0.96942082833942012</c:v>
                </c:pt>
                <c:pt idx="14">
                  <c:v>1.0365105498257186</c:v>
                </c:pt>
                <c:pt idx="15">
                  <c:v>0.98595623929930631</c:v>
                </c:pt>
                <c:pt idx="16">
                  <c:v>0.99738211362471885</c:v>
                </c:pt>
                <c:pt idx="17">
                  <c:v>1.0026762671811851</c:v>
                </c:pt>
                <c:pt idx="18">
                  <c:v>1.0131207100236879</c:v>
                </c:pt>
                <c:pt idx="19">
                  <c:v>0.98346808969928801</c:v>
                </c:pt>
              </c:numCache>
            </c:numRef>
          </c:yVal>
          <c:smooth val="0"/>
          <c:extLst>
            <c:ext xmlns:c16="http://schemas.microsoft.com/office/drawing/2014/chart" uri="{C3380CC4-5D6E-409C-BE32-E72D297353CC}">
              <c16:uniqueId val="{00000000-2B04-4CBE-AC83-C6005A0D865F}"/>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exp"/>
            <c:dispRSqr val="0"/>
            <c:dispEq val="0"/>
          </c:trendline>
          <c:xVal>
            <c:numRef>
              <c:f>Sheet1!$U$85:$U$104</c:f>
              <c:numCache>
                <c:formatCode>General</c:formatCode>
                <c:ptCount val="20"/>
                <c:pt idx="0">
                  <c:v>15.9</c:v>
                </c:pt>
                <c:pt idx="1">
                  <c:v>11.5</c:v>
                </c:pt>
                <c:pt idx="2">
                  <c:v>5.0999999999999996</c:v>
                </c:pt>
                <c:pt idx="3">
                  <c:v>9.5</c:v>
                </c:pt>
                <c:pt idx="4">
                  <c:v>7.9</c:v>
                </c:pt>
                <c:pt idx="5">
                  <c:v>7.2</c:v>
                </c:pt>
                <c:pt idx="6">
                  <c:v>9.5</c:v>
                </c:pt>
                <c:pt idx="7">
                  <c:v>14.7</c:v>
                </c:pt>
                <c:pt idx="8">
                  <c:v>11</c:v>
                </c:pt>
                <c:pt idx="9">
                  <c:v>17.7</c:v>
                </c:pt>
                <c:pt idx="10">
                  <c:v>4.2</c:v>
                </c:pt>
                <c:pt idx="11">
                  <c:v>11.7</c:v>
                </c:pt>
                <c:pt idx="12">
                  <c:v>7.7</c:v>
                </c:pt>
                <c:pt idx="13">
                  <c:v>11.6</c:v>
                </c:pt>
                <c:pt idx="14">
                  <c:v>4.9000000000000004</c:v>
                </c:pt>
                <c:pt idx="15">
                  <c:v>6.3</c:v>
                </c:pt>
                <c:pt idx="16">
                  <c:v>0.5</c:v>
                </c:pt>
                <c:pt idx="17">
                  <c:v>9.8000000000000007</c:v>
                </c:pt>
                <c:pt idx="18">
                  <c:v>17.5</c:v>
                </c:pt>
                <c:pt idx="19">
                  <c:v>10.1</c:v>
                </c:pt>
              </c:numCache>
            </c:numRef>
          </c:xVal>
          <c:yVal>
            <c:numRef>
              <c:f>Sheet1!$AI$85:$AI$104</c:f>
              <c:numCache>
                <c:formatCode>0.00</c:formatCode>
                <c:ptCount val="20"/>
                <c:pt idx="0">
                  <c:v>0.99824366341916904</c:v>
                </c:pt>
                <c:pt idx="1">
                  <c:v>0.96332017965609251</c:v>
                </c:pt>
                <c:pt idx="2">
                  <c:v>1.0374458372298558</c:v>
                </c:pt>
                <c:pt idx="3">
                  <c:v>1.0528476830642488</c:v>
                </c:pt>
                <c:pt idx="4">
                  <c:v>1.0393843878468336</c:v>
                </c:pt>
                <c:pt idx="5">
                  <c:v>1.0353421069767539</c:v>
                </c:pt>
                <c:pt idx="6">
                  <c:v>1.015160532336866</c:v>
                </c:pt>
                <c:pt idx="7">
                  <c:v>0.98829544418977111</c:v>
                </c:pt>
                <c:pt idx="8">
                  <c:v>1.0206347748019828</c:v>
                </c:pt>
                <c:pt idx="9">
                  <c:v>1.015175434372144</c:v>
                </c:pt>
                <c:pt idx="10">
                  <c:v>1.0335692087726407</c:v>
                </c:pt>
                <c:pt idx="11">
                  <c:v>0.99725341209602425</c:v>
                </c:pt>
                <c:pt idx="12">
                  <c:v>1.0631351887573715</c:v>
                </c:pt>
                <c:pt idx="13">
                  <c:v>1.0199596119989682</c:v>
                </c:pt>
                <c:pt idx="14">
                  <c:v>1.0728508300788453</c:v>
                </c:pt>
                <c:pt idx="15">
                  <c:v>1.037396551883899</c:v>
                </c:pt>
                <c:pt idx="16">
                  <c:v>1.0917646461561514</c:v>
                </c:pt>
                <c:pt idx="17">
                  <c:v>0.99766051469152828</c:v>
                </c:pt>
                <c:pt idx="18">
                  <c:v>0.99876590219615358</c:v>
                </c:pt>
                <c:pt idx="19">
                  <c:v>1.0185524783486799</c:v>
                </c:pt>
              </c:numCache>
            </c:numRef>
          </c:yVal>
          <c:smooth val="0"/>
          <c:extLst>
            <c:ext xmlns:c16="http://schemas.microsoft.com/office/drawing/2014/chart" uri="{C3380CC4-5D6E-409C-BE32-E72D297353CC}">
              <c16:uniqueId val="{00000001-2B04-4CBE-AC83-C6005A0D865F}"/>
            </c:ext>
          </c:extLst>
        </c:ser>
        <c:ser>
          <c:idx val="2"/>
          <c:order val="2"/>
          <c:tx>
            <c:strRef>
              <c:f>Sheet1!$AD$119</c:f>
              <c:strCache>
                <c:ptCount val="1"/>
                <c:pt idx="0">
                  <c:v>Value of X1</c:v>
                </c:pt>
              </c:strCache>
            </c:strRef>
          </c:tx>
          <c:spPr>
            <a:ln w="12700">
              <a:solidFill>
                <a:srgbClr val="000000"/>
              </a:solidFill>
              <a:prstDash val="sysDash"/>
            </a:ln>
          </c:spPr>
          <c:marker>
            <c:symbol val="none"/>
          </c:marker>
          <c:xVal>
            <c:numRef>
              <c:f>Sheet1!$AD$122:$AD$123</c:f>
              <c:numCache>
                <c:formatCode>0.00</c:formatCode>
                <c:ptCount val="2"/>
                <c:pt idx="0">
                  <c:v>9.5474999999999994</c:v>
                </c:pt>
                <c:pt idx="1">
                  <c:v>9.5474999999999994</c:v>
                </c:pt>
              </c:numCache>
            </c:numRef>
          </c:xVal>
          <c:yVal>
            <c:numRef>
              <c:f>Sheet1!$AD$126:$AD$127</c:f>
              <c:numCache>
                <c:formatCode>0.00</c:formatCode>
                <c:ptCount val="2"/>
                <c:pt idx="0">
                  <c:v>1.0151493535826182</c:v>
                </c:pt>
                <c:pt idx="1">
                  <c:v>1.0151493535826182</c:v>
                </c:pt>
              </c:numCache>
            </c:numRef>
          </c:yVal>
          <c:smooth val="0"/>
          <c:extLst>
            <c:ext xmlns:c16="http://schemas.microsoft.com/office/drawing/2014/chart" uri="{C3380CC4-5D6E-409C-BE32-E72D297353CC}">
              <c16:uniqueId val="{00000002-2B04-4CBE-AC83-C6005A0D865F}"/>
            </c:ext>
          </c:extLst>
        </c:ser>
        <c:dLbls>
          <c:showLegendKey val="0"/>
          <c:showVal val="0"/>
          <c:showCatName val="0"/>
          <c:showSerName val="0"/>
          <c:showPercent val="0"/>
          <c:showBubbleSize val="0"/>
        </c:dLbls>
        <c:axId val="270410112"/>
        <c:axId val="270412032"/>
      </c:scatterChart>
      <c:valAx>
        <c:axId val="27041011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2195275590551179"/>
              <c:y val="0.941412327623052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70412032"/>
        <c:crossesAt val="1"/>
        <c:crossBetween val="midCat"/>
      </c:valAx>
      <c:valAx>
        <c:axId val="270412032"/>
        <c:scaling>
          <c:logBase val="2"/>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70410112"/>
        <c:crosses val="autoZero"/>
        <c:crossBetween val="midCat"/>
      </c:valAx>
      <c:spPr>
        <a:solidFill>
          <a:srgbClr val="FFFFFF"/>
        </a:solidFill>
        <a:ln w="12700">
          <a:solidFill>
            <a:srgbClr val="808080"/>
          </a:solidFill>
          <a:prstDash val="solid"/>
        </a:ln>
      </c:spPr>
    </c:plotArea>
    <c:legend>
      <c:legendPos val="r"/>
      <c:layout>
        <c:manualLayout>
          <c:xMode val="edge"/>
          <c:yMode val="edge"/>
          <c:x val="0.43344841510195842"/>
          <c:y val="2.7329971911405813E-2"/>
          <c:w val="0.50222531798909753"/>
          <c:h val="0.2053613912296050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2.4868799484122867E-2"/>
          <c:y val="0.12746538947757896"/>
        </c:manualLayout>
      </c:layout>
      <c:overlay val="0"/>
      <c:spPr>
        <a:noFill/>
        <a:ln w="25400">
          <a:noFill/>
        </a:ln>
      </c:spPr>
    </c:title>
    <c:autoTitleDeleted val="0"/>
    <c:plotArea>
      <c:layout>
        <c:manualLayout>
          <c:layoutTarget val="inner"/>
          <c:xMode val="edge"/>
          <c:yMode val="edge"/>
          <c:x val="0.13801208167287232"/>
          <c:y val="0.24841719530185891"/>
          <c:w val="0.81580474944408998"/>
          <c:h val="0.6271643163299242"/>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og"/>
            <c:dispRSqr val="0"/>
            <c:dispEq val="0"/>
          </c:trendline>
          <c:xVal>
            <c:numRef>
              <c:f>Sheet1!$E$52:$E$71</c:f>
              <c:numCache>
                <c:formatCode>General</c:formatCode>
                <c:ptCount val="20"/>
                <c:pt idx="0">
                  <c:v>398.85</c:v>
                </c:pt>
                <c:pt idx="1">
                  <c:v>393.04999999999995</c:v>
                </c:pt>
                <c:pt idx="2">
                  <c:v>400.20000000000005</c:v>
                </c:pt>
                <c:pt idx="3">
                  <c:v>404.15</c:v>
                </c:pt>
                <c:pt idx="4">
                  <c:v>406.8</c:v>
                </c:pt>
                <c:pt idx="5">
                  <c:v>394.95</c:v>
                </c:pt>
                <c:pt idx="6">
                  <c:v>403.1</c:v>
                </c:pt>
                <c:pt idx="7">
                  <c:v>398.35</c:v>
                </c:pt>
                <c:pt idx="8">
                  <c:v>396.6</c:v>
                </c:pt>
                <c:pt idx="9">
                  <c:v>413.1</c:v>
                </c:pt>
                <c:pt idx="10">
                  <c:v>404.35</c:v>
                </c:pt>
                <c:pt idx="11">
                  <c:v>388.85</c:v>
                </c:pt>
                <c:pt idx="12">
                  <c:v>408.4</c:v>
                </c:pt>
                <c:pt idx="13">
                  <c:v>390.65</c:v>
                </c:pt>
                <c:pt idx="14">
                  <c:v>395.2</c:v>
                </c:pt>
                <c:pt idx="15">
                  <c:v>423.45000000000005</c:v>
                </c:pt>
                <c:pt idx="16">
                  <c:v>391.45</c:v>
                </c:pt>
                <c:pt idx="17">
                  <c:v>400</c:v>
                </c:pt>
                <c:pt idx="18">
                  <c:v>408.75</c:v>
                </c:pt>
                <c:pt idx="19">
                  <c:v>414.35</c:v>
                </c:pt>
              </c:numCache>
            </c:numRef>
          </c:xVal>
          <c:yVal>
            <c:numRef>
              <c:f>Sheet1!$AJ$52:$AJ$71</c:f>
              <c:numCache>
                <c:formatCode>0.00</c:formatCode>
                <c:ptCount val="20"/>
                <c:pt idx="0">
                  <c:v>0.98460945804429212</c:v>
                </c:pt>
                <c:pt idx="1">
                  <c:v>1.0243015474964381</c:v>
                </c:pt>
                <c:pt idx="2">
                  <c:v>0.99883173314716156</c:v>
                </c:pt>
                <c:pt idx="3">
                  <c:v>1.0014768389697009</c:v>
                </c:pt>
                <c:pt idx="4">
                  <c:v>1.0176993917831405</c:v>
                </c:pt>
                <c:pt idx="5">
                  <c:v>1.0257024228830991</c:v>
                </c:pt>
                <c:pt idx="6">
                  <c:v>1.0058531501702739</c:v>
                </c:pt>
                <c:pt idx="7">
                  <c:v>1.0109321576977568</c:v>
                </c:pt>
                <c:pt idx="8">
                  <c:v>1.0384567962535385</c:v>
                </c:pt>
                <c:pt idx="9">
                  <c:v>1.0174597208424858</c:v>
                </c:pt>
                <c:pt idx="10">
                  <c:v>1.0152487240966632</c:v>
                </c:pt>
                <c:pt idx="11">
                  <c:v>1.0079286449771128</c:v>
                </c:pt>
                <c:pt idx="12">
                  <c:v>0.98580012835464959</c:v>
                </c:pt>
                <c:pt idx="13">
                  <c:v>0.96942082833942012</c:v>
                </c:pt>
                <c:pt idx="14">
                  <c:v>1.0365105498257186</c:v>
                </c:pt>
                <c:pt idx="15">
                  <c:v>0.98595623929930631</c:v>
                </c:pt>
                <c:pt idx="16">
                  <c:v>0.99738211362471885</c:v>
                </c:pt>
                <c:pt idx="17">
                  <c:v>1.0026762671811851</c:v>
                </c:pt>
                <c:pt idx="18">
                  <c:v>1.0131207100236879</c:v>
                </c:pt>
                <c:pt idx="19">
                  <c:v>0.98346808969928801</c:v>
                </c:pt>
              </c:numCache>
            </c:numRef>
          </c:yVal>
          <c:smooth val="0"/>
          <c:extLst>
            <c:ext xmlns:c16="http://schemas.microsoft.com/office/drawing/2014/chart" uri="{C3380CC4-5D6E-409C-BE32-E72D297353CC}">
              <c16:uniqueId val="{00000000-9C6B-40C0-90EB-DADEC0C6C602}"/>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og"/>
            <c:dispRSqr val="0"/>
            <c:dispEq val="0"/>
          </c:trendline>
          <c:xVal>
            <c:numRef>
              <c:f>Sheet1!$E$85:$E$104</c:f>
              <c:numCache>
                <c:formatCode>General</c:formatCode>
                <c:ptCount val="20"/>
                <c:pt idx="0">
                  <c:v>398.1</c:v>
                </c:pt>
                <c:pt idx="1">
                  <c:v>402.05</c:v>
                </c:pt>
                <c:pt idx="2">
                  <c:v>422.2</c:v>
                </c:pt>
                <c:pt idx="3">
                  <c:v>396.45</c:v>
                </c:pt>
                <c:pt idx="4">
                  <c:v>393.9</c:v>
                </c:pt>
                <c:pt idx="5">
                  <c:v>386.65</c:v>
                </c:pt>
                <c:pt idx="6">
                  <c:v>398.4</c:v>
                </c:pt>
                <c:pt idx="7">
                  <c:v>409.95</c:v>
                </c:pt>
                <c:pt idx="8">
                  <c:v>398.70000000000005</c:v>
                </c:pt>
                <c:pt idx="9">
                  <c:v>388.79999999999995</c:v>
                </c:pt>
                <c:pt idx="10">
                  <c:v>388.75</c:v>
                </c:pt>
                <c:pt idx="11">
                  <c:v>395.8</c:v>
                </c:pt>
                <c:pt idx="12">
                  <c:v>393.75</c:v>
                </c:pt>
                <c:pt idx="13">
                  <c:v>409.25</c:v>
                </c:pt>
                <c:pt idx="14">
                  <c:v>394.5</c:v>
                </c:pt>
                <c:pt idx="15">
                  <c:v>399.2</c:v>
                </c:pt>
                <c:pt idx="16">
                  <c:v>385.35</c:v>
                </c:pt>
                <c:pt idx="17">
                  <c:v>401.45</c:v>
                </c:pt>
                <c:pt idx="18">
                  <c:v>399.8</c:v>
                </c:pt>
                <c:pt idx="19">
                  <c:v>420.75</c:v>
                </c:pt>
              </c:numCache>
            </c:numRef>
          </c:xVal>
          <c:yVal>
            <c:numRef>
              <c:f>Sheet1!$AJ$85:$AJ$104</c:f>
              <c:numCache>
                <c:formatCode>0.00</c:formatCode>
                <c:ptCount val="20"/>
                <c:pt idx="0">
                  <c:v>0.99824366341916904</c:v>
                </c:pt>
                <c:pt idx="1">
                  <c:v>0.96332017965609251</c:v>
                </c:pt>
                <c:pt idx="2">
                  <c:v>1.0374458372298558</c:v>
                </c:pt>
                <c:pt idx="3">
                  <c:v>1.0528476830642488</c:v>
                </c:pt>
                <c:pt idx="4">
                  <c:v>1.0393843878468336</c:v>
                </c:pt>
                <c:pt idx="5">
                  <c:v>1.0353421069767539</c:v>
                </c:pt>
                <c:pt idx="6">
                  <c:v>1.015160532336866</c:v>
                </c:pt>
                <c:pt idx="7">
                  <c:v>0.98829544418977111</c:v>
                </c:pt>
                <c:pt idx="8">
                  <c:v>1.0206347748019828</c:v>
                </c:pt>
                <c:pt idx="9">
                  <c:v>1.015175434372144</c:v>
                </c:pt>
                <c:pt idx="10">
                  <c:v>1.0335692087726407</c:v>
                </c:pt>
                <c:pt idx="11">
                  <c:v>0.99725341209602425</c:v>
                </c:pt>
                <c:pt idx="12">
                  <c:v>1.0631351887573715</c:v>
                </c:pt>
                <c:pt idx="13">
                  <c:v>1.0199596119989682</c:v>
                </c:pt>
                <c:pt idx="14">
                  <c:v>1.0728508300788453</c:v>
                </c:pt>
                <c:pt idx="15">
                  <c:v>1.037396551883899</c:v>
                </c:pt>
                <c:pt idx="16">
                  <c:v>1.0917646461561514</c:v>
                </c:pt>
                <c:pt idx="17">
                  <c:v>0.99766051469152828</c:v>
                </c:pt>
                <c:pt idx="18">
                  <c:v>0.99876590219615358</c:v>
                </c:pt>
                <c:pt idx="19">
                  <c:v>1.0185524783486799</c:v>
                </c:pt>
              </c:numCache>
            </c:numRef>
          </c:yVal>
          <c:smooth val="0"/>
          <c:extLst>
            <c:ext xmlns:c16="http://schemas.microsoft.com/office/drawing/2014/chart" uri="{C3380CC4-5D6E-409C-BE32-E72D297353CC}">
              <c16:uniqueId val="{00000001-9C6B-40C0-90EB-DADEC0C6C602}"/>
            </c:ext>
          </c:extLst>
        </c:ser>
        <c:ser>
          <c:idx val="2"/>
          <c:order val="2"/>
          <c:tx>
            <c:strRef>
              <c:f>Sheet1!$AE$119</c:f>
              <c:strCache>
                <c:ptCount val="1"/>
                <c:pt idx="0">
                  <c:v>Value of X2</c:v>
                </c:pt>
              </c:strCache>
            </c:strRef>
          </c:tx>
          <c:spPr>
            <a:ln w="12700">
              <a:solidFill>
                <a:srgbClr val="000000"/>
              </a:solidFill>
              <a:prstDash val="sysDash"/>
            </a:ln>
          </c:spPr>
          <c:marker>
            <c:symbol val="none"/>
          </c:marker>
          <c:xVal>
            <c:numRef>
              <c:f>Sheet1!$AE$128:$AE$129</c:f>
              <c:numCache>
                <c:formatCode>0.00</c:formatCode>
                <c:ptCount val="2"/>
                <c:pt idx="0">
                  <c:v>400.33185468460573</c:v>
                </c:pt>
                <c:pt idx="1">
                  <c:v>400.33185468460573</c:v>
                </c:pt>
              </c:numCache>
            </c:numRef>
          </c:xVal>
          <c:yVal>
            <c:numRef>
              <c:f>Sheet1!$AE$126:$AE$127</c:f>
              <c:numCache>
                <c:formatCode>0.00</c:formatCode>
                <c:ptCount val="2"/>
                <c:pt idx="0">
                  <c:v>1.0151493535826182</c:v>
                </c:pt>
                <c:pt idx="1">
                  <c:v>1.0151493535826182</c:v>
                </c:pt>
              </c:numCache>
            </c:numRef>
          </c:yVal>
          <c:smooth val="0"/>
          <c:extLst>
            <c:ext xmlns:c16="http://schemas.microsoft.com/office/drawing/2014/chart" uri="{C3380CC4-5D6E-409C-BE32-E72D297353CC}">
              <c16:uniqueId val="{00000002-9C6B-40C0-90EB-DADEC0C6C602}"/>
            </c:ext>
          </c:extLst>
        </c:ser>
        <c:dLbls>
          <c:showLegendKey val="0"/>
          <c:showVal val="0"/>
          <c:showCatName val="0"/>
          <c:showSerName val="0"/>
          <c:showPercent val="0"/>
          <c:showBubbleSize val="0"/>
        </c:dLbls>
        <c:axId val="65626880"/>
        <c:axId val="65628416"/>
      </c:scatterChart>
      <c:valAx>
        <c:axId val="65626880"/>
        <c:scaling>
          <c:logBase val="2"/>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2473006258833029"/>
              <c:y val="0.938739142092957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28416"/>
        <c:crossesAt val="1"/>
        <c:crossBetween val="midCat"/>
      </c:valAx>
      <c:valAx>
        <c:axId val="65628416"/>
        <c:scaling>
          <c:logBase val="2"/>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26880"/>
        <c:crosses val="autoZero"/>
        <c:crossBetween val="midCat"/>
      </c:valAx>
      <c:spPr>
        <a:solidFill>
          <a:srgbClr val="FFFFFF"/>
        </a:solidFill>
        <a:ln w="12700">
          <a:solidFill>
            <a:srgbClr val="808080"/>
          </a:solidFill>
          <a:prstDash val="solid"/>
        </a:ln>
      </c:spPr>
    </c:plotArea>
    <c:legend>
      <c:legendPos val="r"/>
      <c:layout>
        <c:manualLayout>
          <c:xMode val="edge"/>
          <c:yMode val="edge"/>
          <c:x val="0.45398223299010698"/>
          <c:y val="1.7489296138867596E-2"/>
          <c:w val="0.48373874419543705"/>
          <c:h val="0.2066309742255669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3.3926801087394383E-2"/>
          <c:y val="0.13491799179327987"/>
        </c:manualLayout>
      </c:layout>
      <c:overlay val="0"/>
      <c:spPr>
        <a:noFill/>
        <a:ln w="25400">
          <a:noFill/>
        </a:ln>
      </c:spPr>
    </c:title>
    <c:autoTitleDeleted val="0"/>
    <c:plotArea>
      <c:layout>
        <c:manualLayout>
          <c:layoutTarget val="inner"/>
          <c:xMode val="edge"/>
          <c:yMode val="edge"/>
          <c:x val="0.15027982226601655"/>
          <c:y val="0.27358113393160044"/>
          <c:w val="0.80353700885094559"/>
          <c:h val="0.61604538181625146"/>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exp"/>
            <c:dispRSqr val="0"/>
            <c:dispEq val="0"/>
          </c:trendline>
          <c:xVal>
            <c:numRef>
              <c:f>Sheet1!$U$52:$U$71</c:f>
              <c:numCache>
                <c:formatCode>General</c:formatCode>
                <c:ptCount val="20"/>
                <c:pt idx="0">
                  <c:v>8.9</c:v>
                </c:pt>
                <c:pt idx="1">
                  <c:v>11.4</c:v>
                </c:pt>
                <c:pt idx="2">
                  <c:v>9.8000000000000007</c:v>
                </c:pt>
                <c:pt idx="3">
                  <c:v>5.2</c:v>
                </c:pt>
                <c:pt idx="4">
                  <c:v>8.4</c:v>
                </c:pt>
                <c:pt idx="5">
                  <c:v>11</c:v>
                </c:pt>
                <c:pt idx="6">
                  <c:v>5.6</c:v>
                </c:pt>
                <c:pt idx="7">
                  <c:v>12.3</c:v>
                </c:pt>
                <c:pt idx="8">
                  <c:v>7.2</c:v>
                </c:pt>
                <c:pt idx="9">
                  <c:v>14.3</c:v>
                </c:pt>
                <c:pt idx="10">
                  <c:v>5.7</c:v>
                </c:pt>
                <c:pt idx="11">
                  <c:v>13.9</c:v>
                </c:pt>
                <c:pt idx="12">
                  <c:v>5.9</c:v>
                </c:pt>
                <c:pt idx="13">
                  <c:v>13.1</c:v>
                </c:pt>
                <c:pt idx="14">
                  <c:v>8.6999999999999993</c:v>
                </c:pt>
                <c:pt idx="15">
                  <c:v>4.5999999999999996</c:v>
                </c:pt>
                <c:pt idx="16">
                  <c:v>12.4</c:v>
                </c:pt>
                <c:pt idx="17">
                  <c:v>13.1</c:v>
                </c:pt>
                <c:pt idx="18">
                  <c:v>9.5</c:v>
                </c:pt>
                <c:pt idx="19">
                  <c:v>6.6</c:v>
                </c:pt>
              </c:numCache>
            </c:numRef>
          </c:xVal>
          <c:yVal>
            <c:numRef>
              <c:f>Sheet1!$AK$52:$AK$71</c:f>
              <c:numCache>
                <c:formatCode>0.00</c:formatCode>
                <c:ptCount val="20"/>
                <c:pt idx="0">
                  <c:v>0.98380848978849289</c:v>
                </c:pt>
                <c:pt idx="1">
                  <c:v>1.0202146858713488</c:v>
                </c:pt>
                <c:pt idx="2">
                  <c:v>0.99874243460724732</c:v>
                </c:pt>
                <c:pt idx="3">
                  <c:v>1.0035235196318124</c:v>
                </c:pt>
                <c:pt idx="4">
                  <c:v>1.0212571094972152</c:v>
                </c:pt>
                <c:pt idx="5">
                  <c:v>1.0226835239796743</c:v>
                </c:pt>
                <c:pt idx="6">
                  <c:v>1.0073312970417234</c:v>
                </c:pt>
                <c:pt idx="7">
                  <c:v>1.0098377233956319</c:v>
                </c:pt>
                <c:pt idx="8">
                  <c:v>1.0363128426905044</c:v>
                </c:pt>
                <c:pt idx="9">
                  <c:v>1.0244321625311905</c:v>
                </c:pt>
                <c:pt idx="10">
                  <c:v>1.0174502583145104</c:v>
                </c:pt>
                <c:pt idx="11">
                  <c:v>1.0015441011574466</c:v>
                </c:pt>
                <c:pt idx="12">
                  <c:v>0.99009184539478301</c:v>
                </c:pt>
                <c:pt idx="13">
                  <c:v>0.96426469452427876</c:v>
                </c:pt>
                <c:pt idx="14">
                  <c:v>1.0335869749902828</c:v>
                </c:pt>
                <c:pt idx="15">
                  <c:v>0.99808083371172063</c:v>
                </c:pt>
                <c:pt idx="16">
                  <c:v>0.99250772327817816</c:v>
                </c:pt>
                <c:pt idx="17">
                  <c:v>1.0024568597333254</c:v>
                </c:pt>
                <c:pt idx="18">
                  <c:v>1.0177145952841469</c:v>
                </c:pt>
                <c:pt idx="19">
                  <c:v>0.99086568534375297</c:v>
                </c:pt>
              </c:numCache>
            </c:numRef>
          </c:yVal>
          <c:smooth val="0"/>
          <c:extLst>
            <c:ext xmlns:c16="http://schemas.microsoft.com/office/drawing/2014/chart" uri="{C3380CC4-5D6E-409C-BE32-E72D297353CC}">
              <c16:uniqueId val="{00000000-0FC7-4706-A95F-8A43CF1EC49F}"/>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exp"/>
            <c:dispRSqr val="0"/>
            <c:dispEq val="0"/>
          </c:trendline>
          <c:xVal>
            <c:numRef>
              <c:f>Sheet1!$U$85:$U$104</c:f>
              <c:numCache>
                <c:formatCode>General</c:formatCode>
                <c:ptCount val="20"/>
                <c:pt idx="0">
                  <c:v>15.9</c:v>
                </c:pt>
                <c:pt idx="1">
                  <c:v>11.5</c:v>
                </c:pt>
                <c:pt idx="2">
                  <c:v>5.0999999999999996</c:v>
                </c:pt>
                <c:pt idx="3">
                  <c:v>9.5</c:v>
                </c:pt>
                <c:pt idx="4">
                  <c:v>7.9</c:v>
                </c:pt>
                <c:pt idx="5">
                  <c:v>7.2</c:v>
                </c:pt>
                <c:pt idx="6">
                  <c:v>9.5</c:v>
                </c:pt>
                <c:pt idx="7">
                  <c:v>14.7</c:v>
                </c:pt>
                <c:pt idx="8">
                  <c:v>11</c:v>
                </c:pt>
                <c:pt idx="9">
                  <c:v>17.7</c:v>
                </c:pt>
                <c:pt idx="10">
                  <c:v>4.2</c:v>
                </c:pt>
                <c:pt idx="11">
                  <c:v>11.7</c:v>
                </c:pt>
                <c:pt idx="12">
                  <c:v>7.7</c:v>
                </c:pt>
                <c:pt idx="13">
                  <c:v>11.6</c:v>
                </c:pt>
                <c:pt idx="14">
                  <c:v>4.9000000000000004</c:v>
                </c:pt>
                <c:pt idx="15">
                  <c:v>6.3</c:v>
                </c:pt>
                <c:pt idx="16">
                  <c:v>0.5</c:v>
                </c:pt>
                <c:pt idx="17">
                  <c:v>9.8000000000000007</c:v>
                </c:pt>
                <c:pt idx="18">
                  <c:v>17.5</c:v>
                </c:pt>
                <c:pt idx="19">
                  <c:v>10.1</c:v>
                </c:pt>
              </c:numCache>
            </c:numRef>
          </c:xVal>
          <c:yVal>
            <c:numRef>
              <c:f>Sheet1!$AK$85:$AK$104</c:f>
              <c:numCache>
                <c:formatCode>0.00</c:formatCode>
                <c:ptCount val="20"/>
                <c:pt idx="0">
                  <c:v>0.99669341469108064</c:v>
                </c:pt>
                <c:pt idx="1">
                  <c:v>0.96446535002973055</c:v>
                </c:pt>
                <c:pt idx="2">
                  <c:v>1.0528868482634071</c:v>
                </c:pt>
                <c:pt idx="3">
                  <c:v>1.0499995957996535</c:v>
                </c:pt>
                <c:pt idx="4">
                  <c:v>1.034707081808697</c:v>
                </c:pt>
                <c:pt idx="5">
                  <c:v>1.0253744365871738</c:v>
                </c:pt>
                <c:pt idx="6">
                  <c:v>1.0137689522490507</c:v>
                </c:pt>
                <c:pt idx="7">
                  <c:v>0.99480217594946385</c:v>
                </c:pt>
                <c:pt idx="8">
                  <c:v>1.0194580518251228</c:v>
                </c:pt>
                <c:pt idx="9">
                  <c:v>1.0069627889600832</c:v>
                </c:pt>
                <c:pt idx="10">
                  <c:v>1.02517124897803</c:v>
                </c:pt>
                <c:pt idx="11">
                  <c:v>0.99409423742271086</c:v>
                </c:pt>
                <c:pt idx="12">
                  <c:v>1.0582420304420193</c:v>
                </c:pt>
                <c:pt idx="13">
                  <c:v>1.0262111224389565</c:v>
                </c:pt>
                <c:pt idx="14">
                  <c:v>1.0684567505459821</c:v>
                </c:pt>
                <c:pt idx="15">
                  <c:v>1.0365606695726628</c:v>
                </c:pt>
                <c:pt idx="16">
                  <c:v>1.0802453270901589</c:v>
                </c:pt>
                <c:pt idx="17">
                  <c:v>0.99842661111550568</c:v>
                </c:pt>
                <c:pt idx="18">
                  <c:v>0.99839239172019489</c:v>
                </c:pt>
                <c:pt idx="19">
                  <c:v>1.0326263311824275</c:v>
                </c:pt>
              </c:numCache>
            </c:numRef>
          </c:yVal>
          <c:smooth val="0"/>
          <c:extLst>
            <c:ext xmlns:c16="http://schemas.microsoft.com/office/drawing/2014/chart" uri="{C3380CC4-5D6E-409C-BE32-E72D297353CC}">
              <c16:uniqueId val="{00000001-0FC7-4706-A95F-8A43CF1EC49F}"/>
            </c:ext>
          </c:extLst>
        </c:ser>
        <c:ser>
          <c:idx val="2"/>
          <c:order val="2"/>
          <c:tx>
            <c:strRef>
              <c:f>Sheet1!$AF$119</c:f>
              <c:strCache>
                <c:ptCount val="1"/>
                <c:pt idx="0">
                  <c:v>Value of X1</c:v>
                </c:pt>
              </c:strCache>
            </c:strRef>
          </c:tx>
          <c:spPr>
            <a:ln w="12700">
              <a:solidFill>
                <a:srgbClr val="000000"/>
              </a:solidFill>
              <a:prstDash val="sysDash"/>
            </a:ln>
          </c:spPr>
          <c:marker>
            <c:symbol val="none"/>
          </c:marker>
          <c:xVal>
            <c:numRef>
              <c:f>Sheet1!$AF$122:$AF$123</c:f>
              <c:numCache>
                <c:formatCode>0.00</c:formatCode>
                <c:ptCount val="2"/>
                <c:pt idx="0">
                  <c:v>9.5474999999999994</c:v>
                </c:pt>
                <c:pt idx="1">
                  <c:v>9.5474999999999994</c:v>
                </c:pt>
              </c:numCache>
            </c:numRef>
          </c:xVal>
          <c:yVal>
            <c:numRef>
              <c:f>Sheet1!$AF$126:$AF$127</c:f>
              <c:numCache>
                <c:formatCode>0.00</c:formatCode>
                <c:ptCount val="2"/>
                <c:pt idx="0">
                  <c:v>1.0802453270901589</c:v>
                </c:pt>
                <c:pt idx="1">
                  <c:v>0.96426469452427876</c:v>
                </c:pt>
              </c:numCache>
            </c:numRef>
          </c:yVal>
          <c:smooth val="0"/>
          <c:extLst>
            <c:ext xmlns:c16="http://schemas.microsoft.com/office/drawing/2014/chart" uri="{C3380CC4-5D6E-409C-BE32-E72D297353CC}">
              <c16:uniqueId val="{00000002-0FC7-4706-A95F-8A43CF1EC49F}"/>
            </c:ext>
          </c:extLst>
        </c:ser>
        <c:dLbls>
          <c:showLegendKey val="0"/>
          <c:showVal val="0"/>
          <c:showCatName val="0"/>
          <c:showSerName val="0"/>
          <c:showPercent val="0"/>
          <c:showBubbleSize val="0"/>
        </c:dLbls>
        <c:axId val="270410112"/>
        <c:axId val="270412032"/>
      </c:scatterChart>
      <c:valAx>
        <c:axId val="27041011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2195275590551179"/>
              <c:y val="0.941412327623052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70412032"/>
        <c:crossesAt val="1"/>
        <c:crossBetween val="midCat"/>
      </c:valAx>
      <c:valAx>
        <c:axId val="270412032"/>
        <c:scaling>
          <c:logBase val="2"/>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70410112"/>
        <c:crosses val="autoZero"/>
        <c:crossBetween val="midCat"/>
      </c:valAx>
      <c:spPr>
        <a:solidFill>
          <a:srgbClr val="FFFFFF"/>
        </a:solidFill>
        <a:ln w="12700">
          <a:solidFill>
            <a:srgbClr val="808080"/>
          </a:solidFill>
          <a:prstDash val="solid"/>
        </a:ln>
      </c:spPr>
    </c:plotArea>
    <c:legend>
      <c:legendPos val="r"/>
      <c:layout>
        <c:manualLayout>
          <c:xMode val="edge"/>
          <c:yMode val="edge"/>
          <c:x val="0.42323714508320692"/>
          <c:y val="1.9013389491120171E-2"/>
          <c:w val="0.50222531798909753"/>
          <c:h val="0.239197612507464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Narrow"/>
                <a:ea typeface="Arial Narrow"/>
                <a:cs typeface="Arial Narrow"/>
              </a:defRPr>
            </a:pPr>
            <a:r>
              <a:rPr lang="en-US"/>
              <a:t>Custom effect</a:t>
            </a:r>
          </a:p>
        </c:rich>
      </c:tx>
      <c:layout>
        <c:manualLayout>
          <c:xMode val="edge"/>
          <c:yMode val="edge"/>
          <c:x val="1.9763095327114826E-2"/>
          <c:y val="0.1294370767520574"/>
        </c:manualLayout>
      </c:layout>
      <c:overlay val="0"/>
      <c:spPr>
        <a:noFill/>
        <a:ln w="25400">
          <a:noFill/>
        </a:ln>
      </c:spPr>
    </c:title>
    <c:autoTitleDeleted val="0"/>
    <c:plotArea>
      <c:layout>
        <c:manualLayout>
          <c:layoutTarget val="inner"/>
          <c:xMode val="edge"/>
          <c:yMode val="edge"/>
          <c:x val="0.13801208167287232"/>
          <c:y val="0.24841719530185891"/>
          <c:w val="0.81580474944408998"/>
          <c:h val="0.6271643163299242"/>
        </c:manualLayout>
      </c:layout>
      <c:scatterChart>
        <c:scatterStyle val="lineMarker"/>
        <c:varyColors val="0"/>
        <c:ser>
          <c:idx val="0"/>
          <c:order val="0"/>
          <c:tx>
            <c:strRef>
              <c:f>Sheet1!$B$52</c:f>
              <c:strCache>
                <c:ptCount val="1"/>
                <c:pt idx="0">
                  <c:v>Control</c:v>
                </c:pt>
              </c:strCache>
            </c:strRef>
          </c:tx>
          <c:spPr>
            <a:ln w="28575">
              <a:noFill/>
            </a:ln>
          </c:spPr>
          <c:marker>
            <c:symbol val="circle"/>
            <c:size val="6"/>
            <c:spPr>
              <a:solidFill>
                <a:srgbClr val="3366FF"/>
              </a:solidFill>
              <a:ln>
                <a:solidFill>
                  <a:srgbClr val="000000"/>
                </a:solidFill>
                <a:prstDash val="solid"/>
              </a:ln>
            </c:spPr>
          </c:marker>
          <c:trendline>
            <c:spPr>
              <a:ln w="25400">
                <a:solidFill>
                  <a:srgbClr val="0000FF"/>
                </a:solidFill>
                <a:prstDash val="solid"/>
              </a:ln>
            </c:spPr>
            <c:trendlineType val="log"/>
            <c:dispRSqr val="0"/>
            <c:dispEq val="0"/>
          </c:trendline>
          <c:xVal>
            <c:numRef>
              <c:f>Sheet1!$E$52:$E$71</c:f>
              <c:numCache>
                <c:formatCode>General</c:formatCode>
                <c:ptCount val="20"/>
                <c:pt idx="0">
                  <c:v>398.85</c:v>
                </c:pt>
                <c:pt idx="1">
                  <c:v>393.04999999999995</c:v>
                </c:pt>
                <c:pt idx="2">
                  <c:v>400.20000000000005</c:v>
                </c:pt>
                <c:pt idx="3">
                  <c:v>404.15</c:v>
                </c:pt>
                <c:pt idx="4">
                  <c:v>406.8</c:v>
                </c:pt>
                <c:pt idx="5">
                  <c:v>394.95</c:v>
                </c:pt>
                <c:pt idx="6">
                  <c:v>403.1</c:v>
                </c:pt>
                <c:pt idx="7">
                  <c:v>398.35</c:v>
                </c:pt>
                <c:pt idx="8">
                  <c:v>396.6</c:v>
                </c:pt>
                <c:pt idx="9">
                  <c:v>413.1</c:v>
                </c:pt>
                <c:pt idx="10">
                  <c:v>404.35</c:v>
                </c:pt>
                <c:pt idx="11">
                  <c:v>388.85</c:v>
                </c:pt>
                <c:pt idx="12">
                  <c:v>408.4</c:v>
                </c:pt>
                <c:pt idx="13">
                  <c:v>390.65</c:v>
                </c:pt>
                <c:pt idx="14">
                  <c:v>395.2</c:v>
                </c:pt>
                <c:pt idx="15">
                  <c:v>423.45000000000005</c:v>
                </c:pt>
                <c:pt idx="16">
                  <c:v>391.45</c:v>
                </c:pt>
                <c:pt idx="17">
                  <c:v>400</c:v>
                </c:pt>
                <c:pt idx="18">
                  <c:v>408.75</c:v>
                </c:pt>
                <c:pt idx="19">
                  <c:v>414.35</c:v>
                </c:pt>
              </c:numCache>
            </c:numRef>
          </c:xVal>
          <c:yVal>
            <c:numRef>
              <c:f>Sheet1!$AL$52:$AL$71</c:f>
              <c:numCache>
                <c:formatCode>0.00</c:formatCode>
                <c:ptCount val="20"/>
                <c:pt idx="0">
                  <c:v>0.98438973284798814</c:v>
                </c:pt>
                <c:pt idx="1">
                  <c:v>1.0249558058200725</c:v>
                </c:pt>
                <c:pt idx="2">
                  <c:v>0.9989186686481869</c:v>
                </c:pt>
                <c:pt idx="3">
                  <c:v>0.99997722427061375</c:v>
                </c:pt>
                <c:pt idx="4">
                  <c:v>1.0172969427648164</c:v>
                </c:pt>
                <c:pt idx="5">
                  <c:v>1.0262160770215945</c:v>
                </c:pt>
                <c:pt idx="6">
                  <c:v>1.0044854659407596</c:v>
                </c:pt>
                <c:pt idx="7">
                  <c:v>1.0118917349018881</c:v>
                </c:pt>
                <c:pt idx="8">
                  <c:v>1.0376168666491794</c:v>
                </c:pt>
                <c:pt idx="9">
                  <c:v>1.0191278115449265</c:v>
                </c:pt>
                <c:pt idx="10">
                  <c:v>1.0139032117599034</c:v>
                </c:pt>
                <c:pt idx="11">
                  <c:v>1.0094419237197723</c:v>
                </c:pt>
                <c:pt idx="12">
                  <c:v>0.98456151505064293</c:v>
                </c:pt>
                <c:pt idx="13">
                  <c:v>0.97060861079207483</c:v>
                </c:pt>
                <c:pt idx="14">
                  <c:v>1.0362078065192044</c:v>
                </c:pt>
                <c:pt idx="15">
                  <c:v>0.98427628396935196</c:v>
                </c:pt>
                <c:pt idx="16">
                  <c:v>0.99836324078342131</c:v>
                </c:pt>
                <c:pt idx="17">
                  <c:v>1.0039047958459666</c:v>
                </c:pt>
                <c:pt idx="18">
                  <c:v>1.013104122720009</c:v>
                </c:pt>
                <c:pt idx="19">
                  <c:v>0.98246942881455679</c:v>
                </c:pt>
              </c:numCache>
            </c:numRef>
          </c:yVal>
          <c:smooth val="0"/>
          <c:extLst>
            <c:ext xmlns:c16="http://schemas.microsoft.com/office/drawing/2014/chart" uri="{C3380CC4-5D6E-409C-BE32-E72D297353CC}">
              <c16:uniqueId val="{00000000-5E70-4A37-AA2B-BE3CCA8273E5}"/>
            </c:ext>
          </c:extLst>
        </c:ser>
        <c:ser>
          <c:idx val="1"/>
          <c:order val="1"/>
          <c:tx>
            <c:strRef>
              <c:f>Sheet1!$B$85</c:f>
              <c:strCache>
                <c:ptCount val="1"/>
                <c:pt idx="0">
                  <c:v>Exptal</c:v>
                </c:pt>
              </c:strCache>
            </c:strRef>
          </c:tx>
          <c:spPr>
            <a:ln w="28575">
              <a:noFill/>
            </a:ln>
          </c:spPr>
          <c:marker>
            <c:symbol val="triangle"/>
            <c:size val="6"/>
            <c:spPr>
              <a:solidFill>
                <a:srgbClr val="FF0000"/>
              </a:solidFill>
              <a:ln>
                <a:solidFill>
                  <a:srgbClr val="000000"/>
                </a:solidFill>
                <a:prstDash val="solid"/>
              </a:ln>
            </c:spPr>
          </c:marker>
          <c:trendline>
            <c:spPr>
              <a:ln w="25400">
                <a:solidFill>
                  <a:srgbClr val="FF0000"/>
                </a:solidFill>
                <a:prstDash val="solid"/>
              </a:ln>
            </c:spPr>
            <c:trendlineType val="log"/>
            <c:dispRSqr val="0"/>
            <c:dispEq val="0"/>
          </c:trendline>
          <c:xVal>
            <c:numRef>
              <c:f>Sheet1!$E$85:$E$104</c:f>
              <c:numCache>
                <c:formatCode>General</c:formatCode>
                <c:ptCount val="20"/>
                <c:pt idx="0">
                  <c:v>398.1</c:v>
                </c:pt>
                <c:pt idx="1">
                  <c:v>402.05</c:v>
                </c:pt>
                <c:pt idx="2">
                  <c:v>422.2</c:v>
                </c:pt>
                <c:pt idx="3">
                  <c:v>396.45</c:v>
                </c:pt>
                <c:pt idx="4">
                  <c:v>393.9</c:v>
                </c:pt>
                <c:pt idx="5">
                  <c:v>386.65</c:v>
                </c:pt>
                <c:pt idx="6">
                  <c:v>398.4</c:v>
                </c:pt>
                <c:pt idx="7">
                  <c:v>409.95</c:v>
                </c:pt>
                <c:pt idx="8">
                  <c:v>398.70000000000005</c:v>
                </c:pt>
                <c:pt idx="9">
                  <c:v>388.79999999999995</c:v>
                </c:pt>
                <c:pt idx="10">
                  <c:v>388.75</c:v>
                </c:pt>
                <c:pt idx="11">
                  <c:v>395.8</c:v>
                </c:pt>
                <c:pt idx="12">
                  <c:v>393.75</c:v>
                </c:pt>
                <c:pt idx="13">
                  <c:v>409.25</c:v>
                </c:pt>
                <c:pt idx="14">
                  <c:v>394.5</c:v>
                </c:pt>
                <c:pt idx="15">
                  <c:v>399.2</c:v>
                </c:pt>
                <c:pt idx="16">
                  <c:v>385.35</c:v>
                </c:pt>
                <c:pt idx="17">
                  <c:v>401.45</c:v>
                </c:pt>
                <c:pt idx="18">
                  <c:v>399.8</c:v>
                </c:pt>
                <c:pt idx="19">
                  <c:v>420.75</c:v>
                </c:pt>
              </c:numCache>
            </c:numRef>
          </c:xVal>
          <c:yVal>
            <c:numRef>
              <c:f>Sheet1!$AL$85:$AL$104</c:f>
              <c:numCache>
                <c:formatCode>0.00</c:formatCode>
                <c:ptCount val="20"/>
                <c:pt idx="0">
                  <c:v>1.0278839153173063</c:v>
                </c:pt>
                <c:pt idx="1">
                  <c:v>0.97202274829604751</c:v>
                </c:pt>
                <c:pt idx="2">
                  <c:v>1.0164094085165292</c:v>
                </c:pt>
                <c:pt idx="3">
                  <c:v>1.0526173570168968</c:v>
                </c:pt>
                <c:pt idx="4">
                  <c:v>1.0315268544224088</c:v>
                </c:pt>
                <c:pt idx="5">
                  <c:v>1.0242074962610106</c:v>
                </c:pt>
                <c:pt idx="6">
                  <c:v>1.0149384509127417</c:v>
                </c:pt>
                <c:pt idx="7">
                  <c:v>1.0120310276041349</c:v>
                </c:pt>
                <c:pt idx="8">
                  <c:v>1.0274860514931834</c:v>
                </c:pt>
                <c:pt idx="9">
                  <c:v>1.0540211333679874</c:v>
                </c:pt>
                <c:pt idx="10">
                  <c:v>1.008422324308202</c:v>
                </c:pt>
                <c:pt idx="11">
                  <c:v>1.0071899433426135</c:v>
                </c:pt>
                <c:pt idx="12">
                  <c:v>1.0541265785949991</c:v>
                </c:pt>
                <c:pt idx="13">
                  <c:v>1.029648012226539</c:v>
                </c:pt>
                <c:pt idx="14">
                  <c:v>1.0501286486791397</c:v>
                </c:pt>
                <c:pt idx="15">
                  <c:v>1.0219944044768654</c:v>
                </c:pt>
                <c:pt idx="16">
                  <c:v>1.0472019800350711</c:v>
                </c:pt>
                <c:pt idx="17">
                  <c:v>0.99882150380846879</c:v>
                </c:pt>
                <c:pt idx="18">
                  <c:v>1.0360288443268322</c:v>
                </c:pt>
                <c:pt idx="19">
                  <c:v>1.0211478516115453</c:v>
                </c:pt>
              </c:numCache>
            </c:numRef>
          </c:yVal>
          <c:smooth val="0"/>
          <c:extLst>
            <c:ext xmlns:c16="http://schemas.microsoft.com/office/drawing/2014/chart" uri="{C3380CC4-5D6E-409C-BE32-E72D297353CC}">
              <c16:uniqueId val="{00000001-5E70-4A37-AA2B-BE3CCA8273E5}"/>
            </c:ext>
          </c:extLst>
        </c:ser>
        <c:ser>
          <c:idx val="2"/>
          <c:order val="2"/>
          <c:tx>
            <c:strRef>
              <c:f>Sheet1!$AG$119</c:f>
              <c:strCache>
                <c:ptCount val="1"/>
                <c:pt idx="0">
                  <c:v>Value of X2</c:v>
                </c:pt>
              </c:strCache>
            </c:strRef>
          </c:tx>
          <c:spPr>
            <a:ln w="12700">
              <a:solidFill>
                <a:srgbClr val="000000"/>
              </a:solidFill>
              <a:prstDash val="sysDash"/>
            </a:ln>
          </c:spPr>
          <c:marker>
            <c:symbol val="none"/>
          </c:marker>
          <c:xVal>
            <c:numRef>
              <c:f>Sheet1!$AG$128:$AG$129</c:f>
              <c:numCache>
                <c:formatCode>0.00</c:formatCode>
                <c:ptCount val="2"/>
                <c:pt idx="0">
                  <c:v>400.33185468460573</c:v>
                </c:pt>
                <c:pt idx="1">
                  <c:v>400.33185468460573</c:v>
                </c:pt>
              </c:numCache>
            </c:numRef>
          </c:xVal>
          <c:yVal>
            <c:numRef>
              <c:f>Sheet1!$AG$126:$AG$127</c:f>
              <c:numCache>
                <c:formatCode>0.00</c:formatCode>
                <c:ptCount val="2"/>
                <c:pt idx="0">
                  <c:v>1.0541265785949991</c:v>
                </c:pt>
                <c:pt idx="1">
                  <c:v>0.97060861079207483</c:v>
                </c:pt>
              </c:numCache>
            </c:numRef>
          </c:yVal>
          <c:smooth val="0"/>
          <c:extLst>
            <c:ext xmlns:c16="http://schemas.microsoft.com/office/drawing/2014/chart" uri="{C3380CC4-5D6E-409C-BE32-E72D297353CC}">
              <c16:uniqueId val="{00000002-5E70-4A37-AA2B-BE3CCA8273E5}"/>
            </c:ext>
          </c:extLst>
        </c:ser>
        <c:dLbls>
          <c:showLegendKey val="0"/>
          <c:showVal val="0"/>
          <c:showCatName val="0"/>
          <c:showSerName val="0"/>
          <c:showPercent val="0"/>
          <c:showBubbleSize val="0"/>
        </c:dLbls>
        <c:axId val="65626880"/>
        <c:axId val="65628416"/>
      </c:scatterChart>
      <c:valAx>
        <c:axId val="65626880"/>
        <c:scaling>
          <c:logBase val="2"/>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Predictor</a:t>
                </a:r>
              </a:p>
            </c:rich>
          </c:tx>
          <c:layout>
            <c:manualLayout>
              <c:xMode val="edge"/>
              <c:yMode val="edge"/>
              <c:x val="0.42473006258833029"/>
              <c:y val="0.938739142092957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28416"/>
        <c:crossesAt val="1"/>
        <c:crossBetween val="midCat"/>
      </c:valAx>
      <c:valAx>
        <c:axId val="65628416"/>
        <c:scaling>
          <c:logBase val="2"/>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626880"/>
        <c:crosses val="autoZero"/>
        <c:crossBetween val="midCat"/>
      </c:valAx>
      <c:spPr>
        <a:solidFill>
          <a:srgbClr val="FFFFFF"/>
        </a:solidFill>
        <a:ln w="12700">
          <a:solidFill>
            <a:srgbClr val="808080"/>
          </a:solidFill>
          <a:prstDash val="solid"/>
        </a:ln>
      </c:spPr>
    </c:plotArea>
    <c:legend>
      <c:legendPos val="r"/>
      <c:layout>
        <c:manualLayout>
          <c:xMode val="edge"/>
          <c:yMode val="edge"/>
          <c:x val="0.45398223299010698"/>
          <c:y val="1.7489296138867596E-2"/>
          <c:w val="0.48373874419543705"/>
          <c:h val="0.2113510819500559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1.968503937007874E-2"/>
          <c:y val="8.5366395732791464E-2"/>
        </c:manualLayout>
      </c:layout>
      <c:overlay val="0"/>
      <c:spPr>
        <a:noFill/>
        <a:ln w="25400">
          <a:noFill/>
        </a:ln>
      </c:spPr>
    </c:title>
    <c:autoTitleDeleted val="0"/>
    <c:plotArea>
      <c:layout>
        <c:manualLayout>
          <c:layoutTarget val="inner"/>
          <c:xMode val="edge"/>
          <c:yMode val="edge"/>
          <c:x val="0.18110236220472442"/>
          <c:y val="0.18873702745280618"/>
          <c:w val="0.79133858267716539"/>
          <c:h val="0.66248402962369457"/>
        </c:manualLayout>
      </c:layout>
      <c:lineChart>
        <c:grouping val="standard"/>
        <c:varyColors val="0"/>
        <c:ser>
          <c:idx val="0"/>
          <c:order val="0"/>
          <c:tx>
            <c:strRef>
              <c:f>'Time-series deltas'!$R$6</c:f>
              <c:strCache>
                <c:ptCount val="1"/>
                <c:pt idx="0">
                  <c:v>Control</c:v>
                </c:pt>
              </c:strCache>
            </c:strRef>
          </c:tx>
          <c:spPr>
            <a:ln w="3175">
              <a:solidFill>
                <a:srgbClr val="3366FF"/>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deltas'!$S$9:$W$9</c:f>
                <c:numCache>
                  <c:formatCode>General</c:formatCode>
                  <c:ptCount val="5"/>
                  <c:pt idx="0">
                    <c:v>0</c:v>
                  </c:pt>
                  <c:pt idx="1">
                    <c:v>0</c:v>
                  </c:pt>
                  <c:pt idx="2">
                    <c:v>7.3246088453133282</c:v>
                  </c:pt>
                  <c:pt idx="3">
                    <c:v>8.6347142091492568</c:v>
                  </c:pt>
                  <c:pt idx="4">
                    <c:v>7.7092203851860708</c:v>
                  </c:pt>
                </c:numCache>
              </c:numRef>
            </c:plus>
            <c:minus>
              <c:numRef>
                <c:f>'Time-series deltas'!$S$10:$W$10</c:f>
                <c:numCache>
                  <c:formatCode>General</c:formatCode>
                  <c:ptCount val="5"/>
                  <c:pt idx="0">
                    <c:v>0</c:v>
                  </c:pt>
                  <c:pt idx="1">
                    <c:v>0</c:v>
                  </c:pt>
                  <c:pt idx="2">
                    <c:v>7.3246088453133282</c:v>
                  </c:pt>
                  <c:pt idx="3">
                    <c:v>8.6347142091492568</c:v>
                  </c:pt>
                  <c:pt idx="4">
                    <c:v>7.7092203851860708</c:v>
                  </c:pt>
                </c:numCache>
              </c:numRef>
            </c:minus>
            <c:spPr>
              <a:ln w="12700">
                <a:solidFill>
                  <a:srgbClr val="000000"/>
                </a:solidFill>
                <a:prstDash val="solid"/>
              </a:ln>
            </c:spPr>
          </c:errBars>
          <c:cat>
            <c:strRef>
              <c:f>'Time-series deltas'!$S$5:$W$5</c:f>
              <c:strCache>
                <c:ptCount val="5"/>
                <c:pt idx="0">
                  <c:v>Pre1</c:v>
                </c:pt>
                <c:pt idx="1">
                  <c:v>Pre2</c:v>
                </c:pt>
                <c:pt idx="2">
                  <c:v>Post1</c:v>
                </c:pt>
                <c:pt idx="3">
                  <c:v>Post2</c:v>
                </c:pt>
                <c:pt idx="4">
                  <c:v>Post3</c:v>
                </c:pt>
              </c:strCache>
            </c:strRef>
          </c:cat>
          <c:val>
            <c:numRef>
              <c:f>'Time-series deltas'!$S$8:$W$8</c:f>
              <c:numCache>
                <c:formatCode>0.00</c:formatCode>
                <c:ptCount val="5"/>
                <c:pt idx="0">
                  <c:v>0</c:v>
                </c:pt>
                <c:pt idx="1">
                  <c:v>0</c:v>
                </c:pt>
                <c:pt idx="2">
                  <c:v>2.4099999999999939</c:v>
                </c:pt>
                <c:pt idx="3">
                  <c:v>-0.12500000000000569</c:v>
                </c:pt>
                <c:pt idx="4">
                  <c:v>0.75499999999999834</c:v>
                </c:pt>
              </c:numCache>
            </c:numRef>
          </c:val>
          <c:smooth val="0"/>
          <c:extLst>
            <c:ext xmlns:c16="http://schemas.microsoft.com/office/drawing/2014/chart" uri="{C3380CC4-5D6E-409C-BE32-E72D297353CC}">
              <c16:uniqueId val="{00000000-08C4-4B14-BF2A-9B93CA3CE4E3}"/>
            </c:ext>
          </c:extLst>
        </c:ser>
        <c:ser>
          <c:idx val="1"/>
          <c:order val="1"/>
          <c:tx>
            <c:strRef>
              <c:f>'Time-series deltas'!$R$11</c:f>
              <c:strCache>
                <c:ptCount val="1"/>
                <c:pt idx="0">
                  <c:v>Exptal</c:v>
                </c:pt>
              </c:strCache>
            </c:strRef>
          </c:tx>
          <c:spPr>
            <a:ln w="3175">
              <a:solidFill>
                <a:srgbClr val="FF0000"/>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deltas'!$S$14:$W$14</c:f>
                <c:numCache>
                  <c:formatCode>General</c:formatCode>
                  <c:ptCount val="5"/>
                  <c:pt idx="0">
                    <c:v>0</c:v>
                  </c:pt>
                  <c:pt idx="1">
                    <c:v>0</c:v>
                  </c:pt>
                  <c:pt idx="2">
                    <c:v>12.114178296090648</c:v>
                  </c:pt>
                  <c:pt idx="3">
                    <c:v>11.423140180307138</c:v>
                  </c:pt>
                  <c:pt idx="4">
                    <c:v>12.868002953061522</c:v>
                  </c:pt>
                </c:numCache>
              </c:numRef>
            </c:plus>
            <c:minus>
              <c:numRef>
                <c:f>'Time-series deltas'!$S$15:$W$15</c:f>
                <c:numCache>
                  <c:formatCode>General</c:formatCode>
                  <c:ptCount val="5"/>
                  <c:pt idx="0">
                    <c:v>0</c:v>
                  </c:pt>
                  <c:pt idx="1">
                    <c:v>0</c:v>
                  </c:pt>
                  <c:pt idx="2">
                    <c:v>12.114178296090648</c:v>
                  </c:pt>
                  <c:pt idx="3">
                    <c:v>11.423140180307138</c:v>
                  </c:pt>
                  <c:pt idx="4">
                    <c:v>12.868002953061522</c:v>
                  </c:pt>
                </c:numCache>
              </c:numRef>
            </c:minus>
            <c:spPr>
              <a:ln w="12700">
                <a:solidFill>
                  <a:srgbClr val="000000"/>
                </a:solidFill>
                <a:prstDash val="solid"/>
              </a:ln>
            </c:spPr>
          </c:errBars>
          <c:cat>
            <c:strRef>
              <c:f>'Time-series deltas'!$S$5:$W$5</c:f>
              <c:strCache>
                <c:ptCount val="5"/>
                <c:pt idx="0">
                  <c:v>Pre1</c:v>
                </c:pt>
                <c:pt idx="1">
                  <c:v>Pre2</c:v>
                </c:pt>
                <c:pt idx="2">
                  <c:v>Post1</c:v>
                </c:pt>
                <c:pt idx="3">
                  <c:v>Post2</c:v>
                </c:pt>
                <c:pt idx="4">
                  <c:v>Post3</c:v>
                </c:pt>
              </c:strCache>
            </c:strRef>
          </c:cat>
          <c:val>
            <c:numRef>
              <c:f>'Time-series deltas'!$S$13:$W$13</c:f>
              <c:numCache>
                <c:formatCode>0.00</c:formatCode>
                <c:ptCount val="5"/>
                <c:pt idx="0">
                  <c:v>0</c:v>
                </c:pt>
                <c:pt idx="1">
                  <c:v>0</c:v>
                </c:pt>
                <c:pt idx="2">
                  <c:v>9.7899999999999974</c:v>
                </c:pt>
                <c:pt idx="3">
                  <c:v>4.1550000000000038</c:v>
                </c:pt>
                <c:pt idx="4">
                  <c:v>4.795000000000007</c:v>
                </c:pt>
              </c:numCache>
            </c:numRef>
          </c:val>
          <c:smooth val="0"/>
          <c:extLst>
            <c:ext xmlns:c16="http://schemas.microsoft.com/office/drawing/2014/chart" uri="{C3380CC4-5D6E-409C-BE32-E72D297353CC}">
              <c16:uniqueId val="{00000001-08C4-4B14-BF2A-9B93CA3CE4E3}"/>
            </c:ext>
          </c:extLst>
        </c:ser>
        <c:dLbls>
          <c:showLegendKey val="0"/>
          <c:showVal val="0"/>
          <c:showCatName val="0"/>
          <c:showSerName val="0"/>
          <c:showPercent val="0"/>
          <c:showBubbleSize val="0"/>
        </c:dLbls>
        <c:marker val="1"/>
        <c:smooth val="0"/>
        <c:axId val="210841984"/>
        <c:axId val="210843904"/>
      </c:lineChart>
      <c:catAx>
        <c:axId val="210841984"/>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Trial</a:t>
                </a:r>
              </a:p>
            </c:rich>
          </c:tx>
          <c:layout>
            <c:manualLayout>
              <c:xMode val="edge"/>
              <c:yMode val="edge"/>
              <c:x val="0.50593369080398687"/>
              <c:y val="0.92532067564135123"/>
            </c:manualLayout>
          </c:layout>
          <c:overlay val="0"/>
          <c:spPr>
            <a:noFill/>
            <a:ln w="25400">
              <a:noFill/>
            </a:ln>
          </c:spPr>
        </c:title>
        <c:numFmt formatCode="General" sourceLinked="1"/>
        <c:majorTickMark val="out"/>
        <c:minorTickMark val="none"/>
        <c:tickLblPos val="low"/>
        <c:spPr>
          <a:ln w="3175">
            <a:solidFill>
              <a:srgbClr val="000000"/>
            </a:solidFill>
            <a:prstDash val="solid"/>
          </a:ln>
        </c:spPr>
        <c:crossAx val="210843904"/>
        <c:crossesAt val="0"/>
        <c:auto val="1"/>
        <c:lblAlgn val="ctr"/>
        <c:lblOffset val="100"/>
        <c:tickMarkSkip val="1"/>
        <c:noMultiLvlLbl val="0"/>
      </c:catAx>
      <c:valAx>
        <c:axId val="210843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0841984"/>
        <c:crossesAt val="0"/>
        <c:crossBetween val="between"/>
      </c:valAx>
      <c:spPr>
        <a:solidFill>
          <a:srgbClr val="FFFFFF"/>
        </a:solidFill>
        <a:ln w="12700">
          <a:solidFill>
            <a:srgbClr val="808080"/>
          </a:solidFill>
          <a:prstDash val="solid"/>
        </a:ln>
      </c:spPr>
    </c:plotArea>
    <c:legend>
      <c:legendPos val="r"/>
      <c:layout>
        <c:manualLayout>
          <c:xMode val="edge"/>
          <c:yMode val="edge"/>
          <c:x val="0.56748466257668717"/>
          <c:y val="2.4464835040781195E-2"/>
          <c:w val="0.2310331223934432"/>
          <c:h val="0.11151257302514606"/>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 (factor)</a:t>
            </a:r>
          </a:p>
        </c:rich>
      </c:tx>
      <c:layout>
        <c:manualLayout>
          <c:xMode val="edge"/>
          <c:yMode val="edge"/>
          <c:x val="3.8194612176545413E-2"/>
          <c:y val="6.9536822603056977E-2"/>
        </c:manualLayout>
      </c:layout>
      <c:overlay val="0"/>
      <c:spPr>
        <a:noFill/>
        <a:ln w="25400">
          <a:noFill/>
        </a:ln>
      </c:spPr>
    </c:title>
    <c:autoTitleDeleted val="0"/>
    <c:plotArea>
      <c:layout>
        <c:manualLayout>
          <c:layoutTarget val="inner"/>
          <c:xMode val="edge"/>
          <c:yMode val="edge"/>
          <c:x val="0.15027977714442137"/>
          <c:y val="0.13396246250923363"/>
          <c:w val="0.82807249003723415"/>
          <c:h val="0.72980059807228492"/>
        </c:manualLayout>
      </c:layout>
      <c:lineChart>
        <c:grouping val="standard"/>
        <c:varyColors val="0"/>
        <c:ser>
          <c:idx val="0"/>
          <c:order val="0"/>
          <c:tx>
            <c:strRef>
              <c:f>'Time-series deltas'!$R$20</c:f>
              <c:strCache>
                <c:ptCount val="1"/>
                <c:pt idx="0">
                  <c:v>Control</c:v>
                </c:pt>
              </c:strCache>
            </c:strRef>
          </c:tx>
          <c:spPr>
            <a:ln w="12700">
              <a:solidFill>
                <a:srgbClr val="3366FF"/>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deltas'!$S$23:$W$23</c:f>
                <c:numCache>
                  <c:formatCode>General</c:formatCode>
                  <c:ptCount val="5"/>
                  <c:pt idx="0">
                    <c:v>0</c:v>
                  </c:pt>
                  <c:pt idx="1">
                    <c:v>0</c:v>
                  </c:pt>
                  <c:pt idx="2">
                    <c:v>1.8552651785874508E-2</c:v>
                  </c:pt>
                  <c:pt idx="3">
                    <c:v>2.1647256568401052E-2</c:v>
                  </c:pt>
                  <c:pt idx="4">
                    <c:v>1.946193697923726E-2</c:v>
                  </c:pt>
                </c:numCache>
              </c:numRef>
            </c:plus>
            <c:minus>
              <c:numRef>
                <c:f>'Time-series deltas'!$S$24:$W$24</c:f>
                <c:numCache>
                  <c:formatCode>General</c:formatCode>
                  <c:ptCount val="5"/>
                  <c:pt idx="0">
                    <c:v>0</c:v>
                  </c:pt>
                  <c:pt idx="1">
                    <c:v>0</c:v>
                  </c:pt>
                  <c:pt idx="2">
                    <c:v>1.8216693616301738E-2</c:v>
                  </c:pt>
                  <c:pt idx="3">
                    <c:v>2.118847873216978E-2</c:v>
                  </c:pt>
                  <c:pt idx="4">
                    <c:v>1.9091062806817494E-2</c:v>
                  </c:pt>
                </c:numCache>
              </c:numRef>
            </c:minus>
            <c:spPr>
              <a:ln w="12700">
                <a:solidFill>
                  <a:srgbClr val="000000"/>
                </a:solidFill>
                <a:prstDash val="solid"/>
              </a:ln>
            </c:spPr>
          </c:errBars>
          <c:cat>
            <c:strRef>
              <c:f>'Time-series deltas'!$S$19:$W$19</c:f>
              <c:strCache>
                <c:ptCount val="5"/>
                <c:pt idx="0">
                  <c:v>Pre1</c:v>
                </c:pt>
                <c:pt idx="1">
                  <c:v>Pre2</c:v>
                </c:pt>
                <c:pt idx="2">
                  <c:v>Post1</c:v>
                </c:pt>
                <c:pt idx="3">
                  <c:v>Post2</c:v>
                </c:pt>
                <c:pt idx="4">
                  <c:v>Post3</c:v>
                </c:pt>
              </c:strCache>
            </c:strRef>
          </c:cat>
          <c:val>
            <c:numRef>
              <c:f>'Time-series deltas'!$S$22:$W$22</c:f>
              <c:numCache>
                <c:formatCode>0.00</c:formatCode>
                <c:ptCount val="5"/>
                <c:pt idx="0">
                  <c:v>1</c:v>
                </c:pt>
                <c:pt idx="1">
                  <c:v>1</c:v>
                </c:pt>
                <c:pt idx="2">
                  <c:v>1.0059823036389151</c:v>
                </c:pt>
                <c:pt idx="3">
                  <c:v>0.99977025738037695</c:v>
                </c:pt>
                <c:pt idx="4">
                  <c:v>1.001819724433181</c:v>
                </c:pt>
              </c:numCache>
            </c:numRef>
          </c:val>
          <c:smooth val="0"/>
          <c:extLst>
            <c:ext xmlns:c16="http://schemas.microsoft.com/office/drawing/2014/chart" uri="{C3380CC4-5D6E-409C-BE32-E72D297353CC}">
              <c16:uniqueId val="{00000000-F099-4986-BD17-5E5806DAAEAA}"/>
            </c:ext>
          </c:extLst>
        </c:ser>
        <c:ser>
          <c:idx val="1"/>
          <c:order val="1"/>
          <c:tx>
            <c:strRef>
              <c:f>'Time-series deltas'!$R$25</c:f>
              <c:strCache>
                <c:ptCount val="1"/>
                <c:pt idx="0">
                  <c:v>Exptal</c:v>
                </c:pt>
              </c:strCache>
            </c:strRef>
          </c:tx>
          <c:spPr>
            <a:ln w="12700">
              <a:solidFill>
                <a:srgbClr val="FF0000"/>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deltas'!$S$28:$W$28</c:f>
                <c:numCache>
                  <c:formatCode>General</c:formatCode>
                  <c:ptCount val="5"/>
                  <c:pt idx="0">
                    <c:v>0</c:v>
                  </c:pt>
                  <c:pt idx="1">
                    <c:v>0</c:v>
                  </c:pt>
                  <c:pt idx="2">
                    <c:v>3.1169695668334274E-2</c:v>
                  </c:pt>
                  <c:pt idx="3">
                    <c:v>2.8868938712426351E-2</c:v>
                  </c:pt>
                  <c:pt idx="4">
                    <c:v>3.2925033013247562E-2</c:v>
                  </c:pt>
                </c:numCache>
              </c:numRef>
            </c:plus>
            <c:minus>
              <c:numRef>
                <c:f>'Time-series deltas'!$S$29:$W$29</c:f>
                <c:numCache>
                  <c:formatCode>General</c:formatCode>
                  <c:ptCount val="5"/>
                  <c:pt idx="0">
                    <c:v>0</c:v>
                  </c:pt>
                  <c:pt idx="1">
                    <c:v>0</c:v>
                  </c:pt>
                  <c:pt idx="2">
                    <c:v>3.0249292223107349E-2</c:v>
                  </c:pt>
                  <c:pt idx="3">
                    <c:v>2.8067014267172952E-2</c:v>
                  </c:pt>
                  <c:pt idx="4">
                    <c:v>3.1887667005206288E-2</c:v>
                  </c:pt>
                </c:numCache>
              </c:numRef>
            </c:minus>
            <c:spPr>
              <a:ln w="12700">
                <a:solidFill>
                  <a:srgbClr val="000000"/>
                </a:solidFill>
                <a:prstDash val="solid"/>
              </a:ln>
            </c:spPr>
          </c:errBars>
          <c:cat>
            <c:strRef>
              <c:f>'Time-series deltas'!$S$19:$W$19</c:f>
              <c:strCache>
                <c:ptCount val="5"/>
                <c:pt idx="0">
                  <c:v>Pre1</c:v>
                </c:pt>
                <c:pt idx="1">
                  <c:v>Pre2</c:v>
                </c:pt>
                <c:pt idx="2">
                  <c:v>Post1</c:v>
                </c:pt>
                <c:pt idx="3">
                  <c:v>Post2</c:v>
                </c:pt>
                <c:pt idx="4">
                  <c:v>Post3</c:v>
                </c:pt>
              </c:strCache>
            </c:strRef>
          </c:cat>
          <c:val>
            <c:numRef>
              <c:f>'Time-series deltas'!$S$27:$W$27</c:f>
              <c:numCache>
                <c:formatCode>0.00</c:formatCode>
                <c:ptCount val="5"/>
                <c:pt idx="0">
                  <c:v>1</c:v>
                </c:pt>
                <c:pt idx="1">
                  <c:v>1</c:v>
                </c:pt>
                <c:pt idx="2">
                  <c:v>1.0243999385988234</c:v>
                </c:pt>
                <c:pt idx="3">
                  <c:v>1.0104005676790055</c:v>
                </c:pt>
                <c:pt idx="4">
                  <c:v>1.0120849157610985</c:v>
                </c:pt>
              </c:numCache>
            </c:numRef>
          </c:val>
          <c:smooth val="0"/>
          <c:extLst>
            <c:ext xmlns:c16="http://schemas.microsoft.com/office/drawing/2014/chart" uri="{C3380CC4-5D6E-409C-BE32-E72D297353CC}">
              <c16:uniqueId val="{00000001-F099-4986-BD17-5E5806DAAEAA}"/>
            </c:ext>
          </c:extLst>
        </c:ser>
        <c:dLbls>
          <c:showLegendKey val="0"/>
          <c:showVal val="0"/>
          <c:showCatName val="0"/>
          <c:showSerName val="0"/>
          <c:showPercent val="0"/>
          <c:showBubbleSize val="0"/>
        </c:dLbls>
        <c:marker val="1"/>
        <c:smooth val="0"/>
        <c:axId val="211095936"/>
        <c:axId val="211097856"/>
      </c:lineChart>
      <c:catAx>
        <c:axId val="211095936"/>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Trial</a:t>
                </a:r>
              </a:p>
            </c:rich>
          </c:tx>
          <c:layout>
            <c:manualLayout>
              <c:xMode val="edge"/>
              <c:yMode val="edge"/>
              <c:x val="0.47719916912226462"/>
              <c:y val="0.92961786336113927"/>
            </c:manualLayout>
          </c:layout>
          <c:overlay val="0"/>
          <c:spPr>
            <a:noFill/>
            <a:ln w="25400">
              <a:noFill/>
            </a:ln>
          </c:spPr>
        </c:title>
        <c:numFmt formatCode="General" sourceLinked="1"/>
        <c:majorTickMark val="out"/>
        <c:minorTickMark val="none"/>
        <c:tickLblPos val="low"/>
        <c:spPr>
          <a:ln w="3175">
            <a:solidFill>
              <a:srgbClr val="000000"/>
            </a:solidFill>
            <a:prstDash val="solid"/>
          </a:ln>
        </c:spPr>
        <c:crossAx val="211097856"/>
        <c:crossesAt val="1"/>
        <c:auto val="1"/>
        <c:lblAlgn val="ctr"/>
        <c:lblOffset val="100"/>
        <c:tickMarkSkip val="1"/>
        <c:noMultiLvlLbl val="0"/>
      </c:catAx>
      <c:valAx>
        <c:axId val="211097856"/>
        <c:scaling>
          <c:logBase val="2"/>
          <c:orientation val="minMax"/>
        </c:scaling>
        <c:delete val="0"/>
        <c:axPos val="l"/>
        <c:numFmt formatCode="0.0" sourceLinked="0"/>
        <c:majorTickMark val="out"/>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1095936"/>
        <c:crosses val="autoZero"/>
        <c:crossBetween val="between"/>
      </c:valAx>
      <c:spPr>
        <a:solidFill>
          <a:srgbClr val="FFFFFF"/>
        </a:solidFill>
        <a:ln w="12700">
          <a:solidFill>
            <a:srgbClr val="808080"/>
          </a:solidFill>
          <a:prstDash val="solid"/>
        </a:ln>
      </c:spPr>
    </c:plotArea>
    <c:legend>
      <c:legendPos val="r"/>
      <c:layout>
        <c:manualLayout>
          <c:xMode val="edge"/>
          <c:yMode val="edge"/>
          <c:x val="0.48670756646216767"/>
          <c:y val="2.752292728114868E-2"/>
          <c:w val="0.33328261114599933"/>
          <c:h val="0.10293456511005433"/>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a:t>
            </a:r>
          </a:p>
        </c:rich>
      </c:tx>
      <c:layout>
        <c:manualLayout>
          <c:xMode val="edge"/>
          <c:yMode val="edge"/>
          <c:x val="1.968503937007874E-2"/>
          <c:y val="8.5366923474188366E-2"/>
        </c:manualLayout>
      </c:layout>
      <c:overlay val="0"/>
      <c:spPr>
        <a:noFill/>
        <a:ln w="25400">
          <a:noFill/>
        </a:ln>
      </c:spPr>
    </c:title>
    <c:autoTitleDeleted val="0"/>
    <c:plotArea>
      <c:layout>
        <c:manualLayout>
          <c:layoutTarget val="inner"/>
          <c:xMode val="edge"/>
          <c:yMode val="edge"/>
          <c:x val="0.18110236220472442"/>
          <c:y val="0.17584568556223845"/>
          <c:w val="0.79133858267716539"/>
          <c:h val="0.6710782575507398"/>
        </c:manualLayout>
      </c:layout>
      <c:scatterChart>
        <c:scatterStyle val="lineMarker"/>
        <c:varyColors val="0"/>
        <c:ser>
          <c:idx val="0"/>
          <c:order val="0"/>
          <c:tx>
            <c:strRef>
              <c:f>'Time-series deltas'!$R$6</c:f>
              <c:strCache>
                <c:ptCount val="1"/>
                <c:pt idx="0">
                  <c:v>Control</c:v>
                </c:pt>
              </c:strCache>
            </c:strRef>
          </c:tx>
          <c:spPr>
            <a:ln w="3175">
              <a:solidFill>
                <a:srgbClr val="3366FF"/>
              </a:solidFill>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deltas'!$S$9:$W$9</c:f>
                <c:numCache>
                  <c:formatCode>General</c:formatCode>
                  <c:ptCount val="5"/>
                  <c:pt idx="0">
                    <c:v>0</c:v>
                  </c:pt>
                  <c:pt idx="1">
                    <c:v>0</c:v>
                  </c:pt>
                  <c:pt idx="2">
                    <c:v>7.3246088453133282</c:v>
                  </c:pt>
                  <c:pt idx="3">
                    <c:v>8.6347142091492568</c:v>
                  </c:pt>
                  <c:pt idx="4">
                    <c:v>7.7092203851860708</c:v>
                  </c:pt>
                </c:numCache>
              </c:numRef>
            </c:plus>
            <c:minus>
              <c:numRef>
                <c:f>'Time-series deltas'!$S$10:$W$10</c:f>
                <c:numCache>
                  <c:formatCode>General</c:formatCode>
                  <c:ptCount val="5"/>
                  <c:pt idx="0">
                    <c:v>0</c:v>
                  </c:pt>
                  <c:pt idx="1">
                    <c:v>0</c:v>
                  </c:pt>
                  <c:pt idx="2">
                    <c:v>7.3246088453133282</c:v>
                  </c:pt>
                  <c:pt idx="3">
                    <c:v>8.6347142091492568</c:v>
                  </c:pt>
                  <c:pt idx="4">
                    <c:v>7.7092203851860708</c:v>
                  </c:pt>
                </c:numCache>
              </c:numRef>
            </c:minus>
            <c:spPr>
              <a:ln w="12700">
                <a:solidFill>
                  <a:srgbClr val="000000"/>
                </a:solidFill>
                <a:prstDash val="solid"/>
              </a:ln>
            </c:spPr>
          </c:errBars>
          <c:xVal>
            <c:numRef>
              <c:f>'Time-series deltas'!$S$7:$W$7</c:f>
              <c:numCache>
                <c:formatCode>0.0</c:formatCode>
                <c:ptCount val="5"/>
                <c:pt idx="0">
                  <c:v>0.94</c:v>
                </c:pt>
                <c:pt idx="1">
                  <c:v>1.94</c:v>
                </c:pt>
                <c:pt idx="2">
                  <c:v>2.94</c:v>
                </c:pt>
                <c:pt idx="3">
                  <c:v>3.94</c:v>
                </c:pt>
                <c:pt idx="4">
                  <c:v>4.9400000000000004</c:v>
                </c:pt>
              </c:numCache>
            </c:numRef>
          </c:xVal>
          <c:yVal>
            <c:numRef>
              <c:f>'Time-series deltas'!$S$8:$W$8</c:f>
              <c:numCache>
                <c:formatCode>0.00</c:formatCode>
                <c:ptCount val="5"/>
                <c:pt idx="0">
                  <c:v>0</c:v>
                </c:pt>
                <c:pt idx="1">
                  <c:v>0</c:v>
                </c:pt>
                <c:pt idx="2">
                  <c:v>2.4099999999999939</c:v>
                </c:pt>
                <c:pt idx="3">
                  <c:v>-0.12500000000000569</c:v>
                </c:pt>
                <c:pt idx="4">
                  <c:v>0.75499999999999834</c:v>
                </c:pt>
              </c:numCache>
            </c:numRef>
          </c:yVal>
          <c:smooth val="0"/>
          <c:extLst>
            <c:ext xmlns:c16="http://schemas.microsoft.com/office/drawing/2014/chart" uri="{C3380CC4-5D6E-409C-BE32-E72D297353CC}">
              <c16:uniqueId val="{00000000-4A73-4220-B46C-BF4E626F9328}"/>
            </c:ext>
          </c:extLst>
        </c:ser>
        <c:ser>
          <c:idx val="1"/>
          <c:order val="1"/>
          <c:tx>
            <c:strRef>
              <c:f>'Time-series deltas'!$R$11</c:f>
              <c:strCache>
                <c:ptCount val="1"/>
                <c:pt idx="0">
                  <c:v>Exptal</c:v>
                </c:pt>
              </c:strCache>
            </c:strRef>
          </c:tx>
          <c:spPr>
            <a:ln w="3175">
              <a:solidFill>
                <a:srgbClr val="FF0000"/>
              </a:solidFill>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deltas'!$S$14:$W$14</c:f>
                <c:numCache>
                  <c:formatCode>General</c:formatCode>
                  <c:ptCount val="5"/>
                  <c:pt idx="0">
                    <c:v>0</c:v>
                  </c:pt>
                  <c:pt idx="1">
                    <c:v>0</c:v>
                  </c:pt>
                  <c:pt idx="2">
                    <c:v>12.114178296090648</c:v>
                  </c:pt>
                  <c:pt idx="3">
                    <c:v>11.423140180307138</c:v>
                  </c:pt>
                  <c:pt idx="4">
                    <c:v>12.868002953061522</c:v>
                  </c:pt>
                </c:numCache>
              </c:numRef>
            </c:plus>
            <c:minus>
              <c:numRef>
                <c:f>'Time-series deltas'!$S$15:$W$15</c:f>
                <c:numCache>
                  <c:formatCode>General</c:formatCode>
                  <c:ptCount val="5"/>
                  <c:pt idx="0">
                    <c:v>0</c:v>
                  </c:pt>
                  <c:pt idx="1">
                    <c:v>0</c:v>
                  </c:pt>
                  <c:pt idx="2">
                    <c:v>12.114178296090648</c:v>
                  </c:pt>
                  <c:pt idx="3">
                    <c:v>11.423140180307138</c:v>
                  </c:pt>
                  <c:pt idx="4">
                    <c:v>12.868002953061522</c:v>
                  </c:pt>
                </c:numCache>
              </c:numRef>
            </c:minus>
            <c:spPr>
              <a:ln w="12700">
                <a:solidFill>
                  <a:srgbClr val="000000"/>
                </a:solidFill>
                <a:prstDash val="solid"/>
              </a:ln>
            </c:spPr>
          </c:errBars>
          <c:xVal>
            <c:numRef>
              <c:f>'Time-series deltas'!$S$12:$W$12</c:f>
              <c:numCache>
                <c:formatCode>0.0</c:formatCode>
                <c:ptCount val="5"/>
                <c:pt idx="0">
                  <c:v>1.06</c:v>
                </c:pt>
                <c:pt idx="1">
                  <c:v>2.06</c:v>
                </c:pt>
                <c:pt idx="2">
                  <c:v>3.06</c:v>
                </c:pt>
                <c:pt idx="3">
                  <c:v>4.0599999999999996</c:v>
                </c:pt>
                <c:pt idx="4">
                  <c:v>5.0599999999999996</c:v>
                </c:pt>
              </c:numCache>
            </c:numRef>
          </c:xVal>
          <c:yVal>
            <c:numRef>
              <c:f>'Time-series deltas'!$S$13:$W$13</c:f>
              <c:numCache>
                <c:formatCode>0.00</c:formatCode>
                <c:ptCount val="5"/>
                <c:pt idx="0">
                  <c:v>0</c:v>
                </c:pt>
                <c:pt idx="1">
                  <c:v>0</c:v>
                </c:pt>
                <c:pt idx="2">
                  <c:v>9.7899999999999974</c:v>
                </c:pt>
                <c:pt idx="3">
                  <c:v>4.1550000000000038</c:v>
                </c:pt>
                <c:pt idx="4">
                  <c:v>4.795000000000007</c:v>
                </c:pt>
              </c:numCache>
            </c:numRef>
          </c:yVal>
          <c:smooth val="0"/>
          <c:extLst>
            <c:ext xmlns:c16="http://schemas.microsoft.com/office/drawing/2014/chart" uri="{C3380CC4-5D6E-409C-BE32-E72D297353CC}">
              <c16:uniqueId val="{00000001-4A73-4220-B46C-BF4E626F9328}"/>
            </c:ext>
          </c:extLst>
        </c:ser>
        <c:dLbls>
          <c:showLegendKey val="0"/>
          <c:showVal val="0"/>
          <c:showCatName val="0"/>
          <c:showSerName val="0"/>
          <c:showPercent val="0"/>
          <c:showBubbleSize val="0"/>
        </c:dLbls>
        <c:axId val="211120512"/>
        <c:axId val="211122432"/>
      </c:scatterChart>
      <c:valAx>
        <c:axId val="21112051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49570874192873127"/>
              <c:y val="0.92961740631477674"/>
            </c:manualLayout>
          </c:layout>
          <c:overlay val="0"/>
          <c:spPr>
            <a:noFill/>
            <a:ln w="25400">
              <a:noFill/>
            </a:ln>
          </c:spPr>
        </c:title>
        <c:numFmt formatCode="0.0"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1122432"/>
        <c:crossesAt val="0"/>
        <c:crossBetween val="midCat"/>
      </c:valAx>
      <c:valAx>
        <c:axId val="2111224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1120512"/>
        <c:crosses val="autoZero"/>
        <c:crossBetween val="midCat"/>
      </c:valAx>
      <c:spPr>
        <a:solidFill>
          <a:srgbClr val="FFFFFF"/>
        </a:solidFill>
        <a:ln w="12700">
          <a:solidFill>
            <a:srgbClr val="808080"/>
          </a:solidFill>
          <a:prstDash val="solid"/>
        </a:ln>
      </c:spPr>
    </c:plotArea>
    <c:legend>
      <c:legendPos val="r"/>
      <c:layout>
        <c:manualLayout>
          <c:xMode val="edge"/>
          <c:yMode val="edge"/>
          <c:x val="0.56748466257668717"/>
          <c:y val="2.4464984329788966E-2"/>
          <c:w val="0.2310331223934432"/>
          <c:h val="0.11272470658148864"/>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 (factor)</a:t>
            </a:r>
          </a:p>
        </c:rich>
      </c:tx>
      <c:layout>
        <c:manualLayout>
          <c:xMode val="edge"/>
          <c:yMode val="edge"/>
          <c:x val="4.3307086614173228E-2"/>
          <c:y val="8.1301268064383522E-2"/>
        </c:manualLayout>
      </c:layout>
      <c:overlay val="0"/>
      <c:spPr>
        <a:noFill/>
        <a:ln w="25400">
          <a:noFill/>
        </a:ln>
      </c:spPr>
    </c:title>
    <c:autoTitleDeleted val="0"/>
    <c:plotArea>
      <c:layout>
        <c:manualLayout>
          <c:layoutTarget val="inner"/>
          <c:xMode val="edge"/>
          <c:yMode val="edge"/>
          <c:x val="0.15027982226601655"/>
          <c:y val="0.15443294878837821"/>
          <c:w val="0.82807249003723415"/>
          <c:h val="0.71315509979857172"/>
        </c:manualLayout>
      </c:layout>
      <c:scatterChart>
        <c:scatterStyle val="lineMarker"/>
        <c:varyColors val="0"/>
        <c:ser>
          <c:idx val="0"/>
          <c:order val="0"/>
          <c:tx>
            <c:strRef>
              <c:f>'Time-series deltas'!$R$20</c:f>
              <c:strCache>
                <c:ptCount val="1"/>
                <c:pt idx="0">
                  <c:v>Control</c:v>
                </c:pt>
              </c:strCache>
            </c:strRef>
          </c:tx>
          <c:spPr>
            <a:ln w="12700">
              <a:solidFill>
                <a:srgbClr val="000080"/>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deltas'!$S$23:$W$23</c:f>
                <c:numCache>
                  <c:formatCode>General</c:formatCode>
                  <c:ptCount val="5"/>
                  <c:pt idx="0">
                    <c:v>0</c:v>
                  </c:pt>
                  <c:pt idx="1">
                    <c:v>0</c:v>
                  </c:pt>
                  <c:pt idx="2">
                    <c:v>1.8552651785874508E-2</c:v>
                  </c:pt>
                  <c:pt idx="3">
                    <c:v>2.1647256568401052E-2</c:v>
                  </c:pt>
                  <c:pt idx="4">
                    <c:v>1.946193697923726E-2</c:v>
                  </c:pt>
                </c:numCache>
              </c:numRef>
            </c:plus>
            <c:minus>
              <c:numRef>
                <c:f>'Time-series deltas'!$S$24:$W$24</c:f>
                <c:numCache>
                  <c:formatCode>General</c:formatCode>
                  <c:ptCount val="5"/>
                  <c:pt idx="0">
                    <c:v>0</c:v>
                  </c:pt>
                  <c:pt idx="1">
                    <c:v>0</c:v>
                  </c:pt>
                  <c:pt idx="2">
                    <c:v>1.8216693616301738E-2</c:v>
                  </c:pt>
                  <c:pt idx="3">
                    <c:v>2.118847873216978E-2</c:v>
                  </c:pt>
                  <c:pt idx="4">
                    <c:v>1.9091062806817494E-2</c:v>
                  </c:pt>
                </c:numCache>
              </c:numRef>
            </c:minus>
            <c:spPr>
              <a:ln w="12700">
                <a:solidFill>
                  <a:srgbClr val="000000"/>
                </a:solidFill>
                <a:prstDash val="solid"/>
              </a:ln>
            </c:spPr>
          </c:errBars>
          <c:xVal>
            <c:numRef>
              <c:f>'Time-series deltas'!$S$21:$W$21</c:f>
              <c:numCache>
                <c:formatCode>0.0</c:formatCode>
                <c:ptCount val="5"/>
                <c:pt idx="0">
                  <c:v>0.94</c:v>
                </c:pt>
                <c:pt idx="1">
                  <c:v>1.94</c:v>
                </c:pt>
                <c:pt idx="2">
                  <c:v>2.94</c:v>
                </c:pt>
                <c:pt idx="3">
                  <c:v>3.94</c:v>
                </c:pt>
                <c:pt idx="4">
                  <c:v>4.9400000000000004</c:v>
                </c:pt>
              </c:numCache>
            </c:numRef>
          </c:xVal>
          <c:yVal>
            <c:numRef>
              <c:f>'Time-series deltas'!$S$22:$W$22</c:f>
              <c:numCache>
                <c:formatCode>0.00</c:formatCode>
                <c:ptCount val="5"/>
                <c:pt idx="0">
                  <c:v>1</c:v>
                </c:pt>
                <c:pt idx="1">
                  <c:v>1</c:v>
                </c:pt>
                <c:pt idx="2">
                  <c:v>1.0059823036389151</c:v>
                </c:pt>
                <c:pt idx="3">
                  <c:v>0.99977025738037695</c:v>
                </c:pt>
                <c:pt idx="4">
                  <c:v>1.001819724433181</c:v>
                </c:pt>
              </c:numCache>
            </c:numRef>
          </c:yVal>
          <c:smooth val="0"/>
          <c:extLst>
            <c:ext xmlns:c16="http://schemas.microsoft.com/office/drawing/2014/chart" uri="{C3380CC4-5D6E-409C-BE32-E72D297353CC}">
              <c16:uniqueId val="{00000000-3AE8-4224-85D4-0F5713AA56BE}"/>
            </c:ext>
          </c:extLst>
        </c:ser>
        <c:ser>
          <c:idx val="1"/>
          <c:order val="1"/>
          <c:tx>
            <c:strRef>
              <c:f>'Time-series deltas'!$R$25</c:f>
              <c:strCache>
                <c:ptCount val="1"/>
                <c:pt idx="0">
                  <c:v>Exptal</c:v>
                </c:pt>
              </c:strCache>
            </c:strRef>
          </c:tx>
          <c:spPr>
            <a:ln w="12700">
              <a:solidFill>
                <a:srgbClr val="FF00FF"/>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deltas'!$S$28:$W$28</c:f>
                <c:numCache>
                  <c:formatCode>General</c:formatCode>
                  <c:ptCount val="5"/>
                  <c:pt idx="0">
                    <c:v>0</c:v>
                  </c:pt>
                  <c:pt idx="1">
                    <c:v>0</c:v>
                  </c:pt>
                  <c:pt idx="2">
                    <c:v>3.1169695668334274E-2</c:v>
                  </c:pt>
                  <c:pt idx="3">
                    <c:v>2.8868938712426351E-2</c:v>
                  </c:pt>
                  <c:pt idx="4">
                    <c:v>3.2925033013247562E-2</c:v>
                  </c:pt>
                </c:numCache>
              </c:numRef>
            </c:plus>
            <c:minus>
              <c:numRef>
                <c:f>'Time-series deltas'!$S$29:$W$29</c:f>
                <c:numCache>
                  <c:formatCode>General</c:formatCode>
                  <c:ptCount val="5"/>
                  <c:pt idx="0">
                    <c:v>0</c:v>
                  </c:pt>
                  <c:pt idx="1">
                    <c:v>0</c:v>
                  </c:pt>
                  <c:pt idx="2">
                    <c:v>3.0249292223107349E-2</c:v>
                  </c:pt>
                  <c:pt idx="3">
                    <c:v>2.8067014267172952E-2</c:v>
                  </c:pt>
                  <c:pt idx="4">
                    <c:v>3.1887667005206288E-2</c:v>
                  </c:pt>
                </c:numCache>
              </c:numRef>
            </c:minus>
            <c:spPr>
              <a:ln w="12700">
                <a:solidFill>
                  <a:srgbClr val="000000"/>
                </a:solidFill>
                <a:prstDash val="solid"/>
              </a:ln>
            </c:spPr>
          </c:errBars>
          <c:xVal>
            <c:numRef>
              <c:f>'Time-series deltas'!$S$26:$W$26</c:f>
              <c:numCache>
                <c:formatCode>0.0</c:formatCode>
                <c:ptCount val="5"/>
                <c:pt idx="0">
                  <c:v>1.06</c:v>
                </c:pt>
                <c:pt idx="1">
                  <c:v>2.06</c:v>
                </c:pt>
                <c:pt idx="2">
                  <c:v>3.06</c:v>
                </c:pt>
                <c:pt idx="3">
                  <c:v>4.0599999999999996</c:v>
                </c:pt>
                <c:pt idx="4">
                  <c:v>5.0599999999999996</c:v>
                </c:pt>
              </c:numCache>
            </c:numRef>
          </c:xVal>
          <c:yVal>
            <c:numRef>
              <c:f>'Time-series deltas'!$S$27:$W$27</c:f>
              <c:numCache>
                <c:formatCode>0.00</c:formatCode>
                <c:ptCount val="5"/>
                <c:pt idx="0">
                  <c:v>1</c:v>
                </c:pt>
                <c:pt idx="1">
                  <c:v>1</c:v>
                </c:pt>
                <c:pt idx="2">
                  <c:v>1.0243999385988234</c:v>
                </c:pt>
                <c:pt idx="3">
                  <c:v>1.0104005676790055</c:v>
                </c:pt>
                <c:pt idx="4">
                  <c:v>1.0120849157610985</c:v>
                </c:pt>
              </c:numCache>
            </c:numRef>
          </c:yVal>
          <c:smooth val="0"/>
          <c:extLst>
            <c:ext xmlns:c16="http://schemas.microsoft.com/office/drawing/2014/chart" uri="{C3380CC4-5D6E-409C-BE32-E72D297353CC}">
              <c16:uniqueId val="{00000001-3AE8-4224-85D4-0F5713AA56BE}"/>
            </c:ext>
          </c:extLst>
        </c:ser>
        <c:dLbls>
          <c:showLegendKey val="0"/>
          <c:showVal val="0"/>
          <c:showCatName val="0"/>
          <c:showSerName val="0"/>
          <c:showPercent val="0"/>
          <c:showBubbleSize val="0"/>
        </c:dLbls>
        <c:axId val="211325312"/>
        <c:axId val="211327232"/>
      </c:scatterChart>
      <c:valAx>
        <c:axId val="21132531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50276154131040363"/>
              <c:y val="0.93694842361572273"/>
            </c:manualLayout>
          </c:layout>
          <c:overlay val="0"/>
          <c:spPr>
            <a:noFill/>
            <a:ln w="25400">
              <a:noFill/>
            </a:ln>
          </c:spPr>
        </c:title>
        <c:numFmt formatCode="0.0"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1327232"/>
        <c:crossesAt val="1"/>
        <c:crossBetween val="midCat"/>
      </c:valAx>
      <c:valAx>
        <c:axId val="211327232"/>
        <c:scaling>
          <c:logBase val="2"/>
          <c:orientation val="minMax"/>
        </c:scaling>
        <c:delete val="0"/>
        <c:axPos val="l"/>
        <c:numFmt formatCode="0.0" sourceLinked="0"/>
        <c:majorTickMark val="out"/>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1325312"/>
        <c:crosses val="autoZero"/>
        <c:crossBetween val="midCat"/>
      </c:valAx>
      <c:spPr>
        <a:solidFill>
          <a:srgbClr val="FFFFFF"/>
        </a:solidFill>
        <a:ln w="12700">
          <a:solidFill>
            <a:srgbClr val="808080"/>
          </a:solidFill>
          <a:prstDash val="solid"/>
        </a:ln>
      </c:spPr>
    </c:plotArea>
    <c:legend>
      <c:legendPos val="r"/>
      <c:layout>
        <c:manualLayout>
          <c:xMode val="edge"/>
          <c:yMode val="edge"/>
          <c:x val="0.52249488752556239"/>
          <c:y val="2.7523235320222654E-2"/>
          <c:w val="0.31283271339548813"/>
          <c:h val="0.10242639850741547"/>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 (%)</a:t>
            </a:r>
          </a:p>
        </c:rich>
      </c:tx>
      <c:layout>
        <c:manualLayout>
          <c:xMode val="edge"/>
          <c:yMode val="edge"/>
          <c:x val="5.353203548942885E-2"/>
          <c:y val="6.1752666089338507E-2"/>
        </c:manualLayout>
      </c:layout>
      <c:overlay val="0"/>
      <c:spPr>
        <a:noFill/>
        <a:ln w="25400">
          <a:noFill/>
        </a:ln>
      </c:spPr>
    </c:title>
    <c:autoTitleDeleted val="0"/>
    <c:plotArea>
      <c:layout>
        <c:manualLayout>
          <c:layoutTarget val="inner"/>
          <c:xMode val="edge"/>
          <c:yMode val="edge"/>
          <c:x val="0.15027977714442137"/>
          <c:y val="0.13396246250923363"/>
          <c:w val="0.82807249003723415"/>
          <c:h val="0.72980059807228492"/>
        </c:manualLayout>
      </c:layout>
      <c:lineChart>
        <c:grouping val="standard"/>
        <c:varyColors val="0"/>
        <c:ser>
          <c:idx val="0"/>
          <c:order val="0"/>
          <c:tx>
            <c:strRef>
              <c:f>'Time-series deltas'!$R$32</c:f>
              <c:strCache>
                <c:ptCount val="1"/>
                <c:pt idx="0">
                  <c:v>Control</c:v>
                </c:pt>
              </c:strCache>
            </c:strRef>
          </c:tx>
          <c:spPr>
            <a:ln w="12700">
              <a:solidFill>
                <a:srgbClr val="3366FF"/>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deltas'!$S$35:$W$35</c:f>
                <c:numCache>
                  <c:formatCode>General</c:formatCode>
                  <c:ptCount val="5"/>
                  <c:pt idx="0">
                    <c:v>0</c:v>
                  </c:pt>
                  <c:pt idx="1">
                    <c:v>0</c:v>
                  </c:pt>
                  <c:pt idx="2">
                    <c:v>1.8552651785874588</c:v>
                  </c:pt>
                  <c:pt idx="3">
                    <c:v>2.164725656840119</c:v>
                  </c:pt>
                  <c:pt idx="4">
                    <c:v>1.946193697923718</c:v>
                  </c:pt>
                </c:numCache>
              </c:numRef>
            </c:plus>
            <c:minus>
              <c:numRef>
                <c:f>'Time-series deltas'!$S$36:$W$36</c:f>
                <c:numCache>
                  <c:formatCode>General</c:formatCode>
                  <c:ptCount val="5"/>
                  <c:pt idx="0">
                    <c:v>0</c:v>
                  </c:pt>
                  <c:pt idx="1">
                    <c:v>0</c:v>
                  </c:pt>
                  <c:pt idx="2">
                    <c:v>1.8216693616301711</c:v>
                  </c:pt>
                  <c:pt idx="3">
                    <c:v>2.1188478732169926</c:v>
                  </c:pt>
                  <c:pt idx="4">
                    <c:v>1.9091062806817405</c:v>
                  </c:pt>
                </c:numCache>
              </c:numRef>
            </c:minus>
            <c:spPr>
              <a:ln w="12700">
                <a:solidFill>
                  <a:srgbClr val="000000"/>
                </a:solidFill>
                <a:prstDash val="solid"/>
              </a:ln>
            </c:spPr>
          </c:errBars>
          <c:cat>
            <c:numRef>
              <c:f>'Time-series deltas'!$S$38:$W$38</c:f>
              <c:numCache>
                <c:formatCode>0.0</c:formatCode>
                <c:ptCount val="5"/>
                <c:pt idx="0">
                  <c:v>1.06</c:v>
                </c:pt>
                <c:pt idx="1">
                  <c:v>2.06</c:v>
                </c:pt>
                <c:pt idx="2">
                  <c:v>3.06</c:v>
                </c:pt>
                <c:pt idx="3">
                  <c:v>4.0599999999999996</c:v>
                </c:pt>
                <c:pt idx="4">
                  <c:v>5.0599999999999996</c:v>
                </c:pt>
              </c:numCache>
            </c:numRef>
          </c:cat>
          <c:val>
            <c:numRef>
              <c:f>'Time-series deltas'!$S$34:$W$34</c:f>
              <c:numCache>
                <c:formatCode>0.0</c:formatCode>
                <c:ptCount val="5"/>
                <c:pt idx="0">
                  <c:v>0</c:v>
                </c:pt>
                <c:pt idx="1">
                  <c:v>0</c:v>
                </c:pt>
                <c:pt idx="2">
                  <c:v>0.59823036389150275</c:v>
                </c:pt>
                <c:pt idx="3">
                  <c:v>-2.2974261962303899E-2</c:v>
                </c:pt>
                <c:pt idx="4">
                  <c:v>0.18197244331810225</c:v>
                </c:pt>
              </c:numCache>
            </c:numRef>
          </c:val>
          <c:smooth val="0"/>
          <c:extLst>
            <c:ext xmlns:c16="http://schemas.microsoft.com/office/drawing/2014/chart" uri="{C3380CC4-5D6E-409C-BE32-E72D297353CC}">
              <c16:uniqueId val="{00000000-654C-4250-8D35-95ED07A6E5A9}"/>
            </c:ext>
          </c:extLst>
        </c:ser>
        <c:ser>
          <c:idx val="1"/>
          <c:order val="1"/>
          <c:tx>
            <c:strRef>
              <c:f>'Time-series deltas'!$R$37</c:f>
              <c:strCache>
                <c:ptCount val="1"/>
                <c:pt idx="0">
                  <c:v>Exptal</c:v>
                </c:pt>
              </c:strCache>
            </c:strRef>
          </c:tx>
          <c:spPr>
            <a:ln w="12700">
              <a:solidFill>
                <a:srgbClr val="FF0000"/>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deltas'!$S$40:$W$40</c:f>
                <c:numCache>
                  <c:formatCode>General</c:formatCode>
                  <c:ptCount val="5"/>
                  <c:pt idx="0">
                    <c:v>0</c:v>
                  </c:pt>
                  <c:pt idx="1">
                    <c:v>0</c:v>
                  </c:pt>
                  <c:pt idx="2">
                    <c:v>3.1169695668334327</c:v>
                  </c:pt>
                  <c:pt idx="3">
                    <c:v>2.8868938712426342</c:v>
                  </c:pt>
                  <c:pt idx="4">
                    <c:v>3.2925033013247713</c:v>
                  </c:pt>
                </c:numCache>
              </c:numRef>
            </c:plus>
            <c:minus>
              <c:numRef>
                <c:f>'Time-series deltas'!$S$41:$W$41</c:f>
                <c:numCache>
                  <c:formatCode>General</c:formatCode>
                  <c:ptCount val="5"/>
                  <c:pt idx="0">
                    <c:v>0</c:v>
                  </c:pt>
                  <c:pt idx="1">
                    <c:v>0</c:v>
                  </c:pt>
                  <c:pt idx="2">
                    <c:v>3.0249292223107176</c:v>
                  </c:pt>
                  <c:pt idx="3">
                    <c:v>2.8067014267172823</c:v>
                  </c:pt>
                  <c:pt idx="4">
                    <c:v>3.188766700520631</c:v>
                  </c:pt>
                </c:numCache>
              </c:numRef>
            </c:minus>
            <c:spPr>
              <a:ln w="12700">
                <a:solidFill>
                  <a:srgbClr val="000000"/>
                </a:solidFill>
                <a:prstDash val="solid"/>
              </a:ln>
            </c:spPr>
          </c:errBars>
          <c:cat>
            <c:numRef>
              <c:f>'Time-series deltas'!$S$38:$W$38</c:f>
              <c:numCache>
                <c:formatCode>0.0</c:formatCode>
                <c:ptCount val="5"/>
                <c:pt idx="0">
                  <c:v>1.06</c:v>
                </c:pt>
                <c:pt idx="1">
                  <c:v>2.06</c:v>
                </c:pt>
                <c:pt idx="2">
                  <c:v>3.06</c:v>
                </c:pt>
                <c:pt idx="3">
                  <c:v>4.0599999999999996</c:v>
                </c:pt>
                <c:pt idx="4">
                  <c:v>5.0599999999999996</c:v>
                </c:pt>
              </c:numCache>
            </c:numRef>
          </c:cat>
          <c:val>
            <c:numRef>
              <c:f>'Time-series deltas'!$S$39:$W$39</c:f>
              <c:numCache>
                <c:formatCode>0.0</c:formatCode>
                <c:ptCount val="5"/>
                <c:pt idx="0">
                  <c:v>0</c:v>
                </c:pt>
                <c:pt idx="1">
                  <c:v>0</c:v>
                </c:pt>
                <c:pt idx="2">
                  <c:v>2.4399938598823354</c:v>
                </c:pt>
                <c:pt idx="3">
                  <c:v>1.0400567679005519</c:v>
                </c:pt>
                <c:pt idx="4">
                  <c:v>1.20849157610985</c:v>
                </c:pt>
              </c:numCache>
            </c:numRef>
          </c:val>
          <c:smooth val="0"/>
          <c:extLst>
            <c:ext xmlns:c16="http://schemas.microsoft.com/office/drawing/2014/chart" uri="{C3380CC4-5D6E-409C-BE32-E72D297353CC}">
              <c16:uniqueId val="{00000001-654C-4250-8D35-95ED07A6E5A9}"/>
            </c:ext>
          </c:extLst>
        </c:ser>
        <c:dLbls>
          <c:showLegendKey val="0"/>
          <c:showVal val="0"/>
          <c:showCatName val="0"/>
          <c:showSerName val="0"/>
          <c:showPercent val="0"/>
          <c:showBubbleSize val="0"/>
        </c:dLbls>
        <c:marker val="1"/>
        <c:smooth val="0"/>
        <c:axId val="215212416"/>
        <c:axId val="215214336"/>
      </c:lineChart>
      <c:catAx>
        <c:axId val="215212416"/>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Trial</a:t>
                </a:r>
              </a:p>
            </c:rich>
          </c:tx>
          <c:layout>
            <c:manualLayout>
              <c:xMode val="edge"/>
              <c:yMode val="edge"/>
              <c:x val="0.47719916912226462"/>
              <c:y val="0.92961786336113927"/>
            </c:manualLayout>
          </c:layout>
          <c:overlay val="0"/>
          <c:spPr>
            <a:noFill/>
            <a:ln w="25400">
              <a:noFill/>
            </a:ln>
          </c:spPr>
        </c:title>
        <c:numFmt formatCode="0.0" sourceLinked="1"/>
        <c:majorTickMark val="out"/>
        <c:minorTickMark val="none"/>
        <c:tickLblPos val="low"/>
        <c:spPr>
          <a:ln w="3175">
            <a:solidFill>
              <a:srgbClr val="000000"/>
            </a:solidFill>
            <a:prstDash val="solid"/>
          </a:ln>
        </c:spPr>
        <c:crossAx val="215214336"/>
        <c:crossesAt val="0"/>
        <c:auto val="1"/>
        <c:lblAlgn val="ctr"/>
        <c:lblOffset val="100"/>
        <c:tickMarkSkip val="1"/>
        <c:noMultiLvlLbl val="0"/>
      </c:catAx>
      <c:valAx>
        <c:axId val="215214336"/>
        <c:scaling>
          <c:orientation val="minMax"/>
        </c:scaling>
        <c:delete val="0"/>
        <c:axPos val="l"/>
        <c:numFmt formatCode="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5212416"/>
        <c:crosses val="autoZero"/>
        <c:crossBetween val="between"/>
      </c:valAx>
      <c:spPr>
        <a:solidFill>
          <a:srgbClr val="FFFFFF"/>
        </a:solidFill>
        <a:ln w="12700">
          <a:solidFill>
            <a:srgbClr val="808080"/>
          </a:solidFill>
          <a:prstDash val="solid"/>
        </a:ln>
      </c:spPr>
    </c:plotArea>
    <c:legend>
      <c:legendPos val="r"/>
      <c:layout>
        <c:manualLayout>
          <c:xMode val="edge"/>
          <c:yMode val="edge"/>
          <c:x val="0.48159509202453987"/>
          <c:y val="1.5758221398795735E-2"/>
          <c:w val="0.31283271339548813"/>
          <c:h val="0.10293456511005433"/>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Means and SDs (%)</a:t>
            </a:r>
          </a:p>
        </c:rich>
      </c:tx>
      <c:layout>
        <c:manualLayout>
          <c:xMode val="edge"/>
          <c:yMode val="edge"/>
          <c:x val="4.3307086614173228E-2"/>
          <c:y val="8.1301268064383522E-2"/>
        </c:manualLayout>
      </c:layout>
      <c:overlay val="0"/>
      <c:spPr>
        <a:noFill/>
        <a:ln w="25400">
          <a:noFill/>
        </a:ln>
      </c:spPr>
    </c:title>
    <c:autoTitleDeleted val="0"/>
    <c:plotArea>
      <c:layout>
        <c:manualLayout>
          <c:layoutTarget val="inner"/>
          <c:xMode val="edge"/>
          <c:yMode val="edge"/>
          <c:x val="0.11502584416211777"/>
          <c:y val="0.17053615580661113"/>
          <c:w val="0.82807249003723415"/>
          <c:h val="0.71315509979857172"/>
        </c:manualLayout>
      </c:layout>
      <c:scatterChart>
        <c:scatterStyle val="lineMarker"/>
        <c:varyColors val="0"/>
        <c:ser>
          <c:idx val="0"/>
          <c:order val="0"/>
          <c:tx>
            <c:strRef>
              <c:f>'Time-series deltas'!$R$32</c:f>
              <c:strCache>
                <c:ptCount val="1"/>
                <c:pt idx="0">
                  <c:v>Control</c:v>
                </c:pt>
              </c:strCache>
            </c:strRef>
          </c:tx>
          <c:spPr>
            <a:ln w="12700">
              <a:solidFill>
                <a:srgbClr val="000080"/>
              </a:solidFill>
              <a:prstDash val="solid"/>
            </a:ln>
          </c:spPr>
          <c:marker>
            <c:symbol val="circle"/>
            <c:size val="6"/>
            <c:spPr>
              <a:solidFill>
                <a:srgbClr val="3366FF"/>
              </a:solidFill>
              <a:ln>
                <a:solidFill>
                  <a:srgbClr val="000000"/>
                </a:solidFill>
                <a:prstDash val="solid"/>
              </a:ln>
            </c:spPr>
          </c:marker>
          <c:errBars>
            <c:errDir val="y"/>
            <c:errBarType val="both"/>
            <c:errValType val="cust"/>
            <c:noEndCap val="0"/>
            <c:plus>
              <c:numRef>
                <c:f>'Time-series deltas'!$S$35:$W$35</c:f>
                <c:numCache>
                  <c:formatCode>General</c:formatCode>
                  <c:ptCount val="5"/>
                  <c:pt idx="0">
                    <c:v>0</c:v>
                  </c:pt>
                  <c:pt idx="1">
                    <c:v>0</c:v>
                  </c:pt>
                  <c:pt idx="2">
                    <c:v>1.8552651785874588</c:v>
                  </c:pt>
                  <c:pt idx="3">
                    <c:v>2.164725656840119</c:v>
                  </c:pt>
                  <c:pt idx="4">
                    <c:v>1.946193697923718</c:v>
                  </c:pt>
                </c:numCache>
              </c:numRef>
            </c:plus>
            <c:minus>
              <c:numRef>
                <c:f>'Time-series deltas'!$S$36:$W$36</c:f>
                <c:numCache>
                  <c:formatCode>General</c:formatCode>
                  <c:ptCount val="5"/>
                  <c:pt idx="0">
                    <c:v>0</c:v>
                  </c:pt>
                  <c:pt idx="1">
                    <c:v>0</c:v>
                  </c:pt>
                  <c:pt idx="2">
                    <c:v>1.8216693616301711</c:v>
                  </c:pt>
                  <c:pt idx="3">
                    <c:v>2.1188478732169926</c:v>
                  </c:pt>
                  <c:pt idx="4">
                    <c:v>1.9091062806817405</c:v>
                  </c:pt>
                </c:numCache>
              </c:numRef>
            </c:minus>
            <c:spPr>
              <a:ln w="12700">
                <a:solidFill>
                  <a:srgbClr val="000000"/>
                </a:solidFill>
                <a:prstDash val="solid"/>
              </a:ln>
            </c:spPr>
          </c:errBars>
          <c:xVal>
            <c:numRef>
              <c:f>'Time-series deltas'!$S$33:$W$33</c:f>
              <c:numCache>
                <c:formatCode>0.0</c:formatCode>
                <c:ptCount val="5"/>
                <c:pt idx="0">
                  <c:v>0.94</c:v>
                </c:pt>
                <c:pt idx="1">
                  <c:v>1.94</c:v>
                </c:pt>
                <c:pt idx="2">
                  <c:v>2.94</c:v>
                </c:pt>
                <c:pt idx="3">
                  <c:v>3.94</c:v>
                </c:pt>
                <c:pt idx="4">
                  <c:v>4.9400000000000004</c:v>
                </c:pt>
              </c:numCache>
            </c:numRef>
          </c:xVal>
          <c:yVal>
            <c:numRef>
              <c:f>'Time-series deltas'!$S$34:$W$34</c:f>
              <c:numCache>
                <c:formatCode>0.0</c:formatCode>
                <c:ptCount val="5"/>
                <c:pt idx="0">
                  <c:v>0</c:v>
                </c:pt>
                <c:pt idx="1">
                  <c:v>0</c:v>
                </c:pt>
                <c:pt idx="2">
                  <c:v>0.59823036389150275</c:v>
                </c:pt>
                <c:pt idx="3">
                  <c:v>-2.2974261962303899E-2</c:v>
                </c:pt>
                <c:pt idx="4">
                  <c:v>0.18197244331810225</c:v>
                </c:pt>
              </c:numCache>
            </c:numRef>
          </c:yVal>
          <c:smooth val="0"/>
          <c:extLst>
            <c:ext xmlns:c16="http://schemas.microsoft.com/office/drawing/2014/chart" uri="{C3380CC4-5D6E-409C-BE32-E72D297353CC}">
              <c16:uniqueId val="{00000000-00DF-4701-A674-9572A0E68290}"/>
            </c:ext>
          </c:extLst>
        </c:ser>
        <c:ser>
          <c:idx val="1"/>
          <c:order val="1"/>
          <c:tx>
            <c:strRef>
              <c:f>'Time-series deltas'!$R$37</c:f>
              <c:strCache>
                <c:ptCount val="1"/>
                <c:pt idx="0">
                  <c:v>Exptal</c:v>
                </c:pt>
              </c:strCache>
            </c:strRef>
          </c:tx>
          <c:spPr>
            <a:ln w="12700">
              <a:solidFill>
                <a:srgbClr val="FF00FF"/>
              </a:solidFill>
              <a:prstDash val="solid"/>
            </a:ln>
          </c:spPr>
          <c:marker>
            <c:symbol val="triangle"/>
            <c:size val="6"/>
            <c:spPr>
              <a:solidFill>
                <a:srgbClr val="FF0000"/>
              </a:solidFill>
              <a:ln>
                <a:solidFill>
                  <a:srgbClr val="000000"/>
                </a:solidFill>
                <a:prstDash val="solid"/>
              </a:ln>
            </c:spPr>
          </c:marker>
          <c:errBars>
            <c:errDir val="y"/>
            <c:errBarType val="both"/>
            <c:errValType val="cust"/>
            <c:noEndCap val="0"/>
            <c:plus>
              <c:numRef>
                <c:f>'Time-series deltas'!$S$40:$W$40</c:f>
                <c:numCache>
                  <c:formatCode>General</c:formatCode>
                  <c:ptCount val="5"/>
                  <c:pt idx="0">
                    <c:v>0</c:v>
                  </c:pt>
                  <c:pt idx="1">
                    <c:v>0</c:v>
                  </c:pt>
                  <c:pt idx="2">
                    <c:v>3.1169695668334327</c:v>
                  </c:pt>
                  <c:pt idx="3">
                    <c:v>2.8868938712426342</c:v>
                  </c:pt>
                  <c:pt idx="4">
                    <c:v>3.2925033013247713</c:v>
                  </c:pt>
                </c:numCache>
              </c:numRef>
            </c:plus>
            <c:minus>
              <c:numRef>
                <c:f>'Time-series deltas'!$S$41:$W$41</c:f>
                <c:numCache>
                  <c:formatCode>General</c:formatCode>
                  <c:ptCount val="5"/>
                  <c:pt idx="0">
                    <c:v>0</c:v>
                  </c:pt>
                  <c:pt idx="1">
                    <c:v>0</c:v>
                  </c:pt>
                  <c:pt idx="2">
                    <c:v>3.0249292223107176</c:v>
                  </c:pt>
                  <c:pt idx="3">
                    <c:v>2.8067014267172823</c:v>
                  </c:pt>
                  <c:pt idx="4">
                    <c:v>3.188766700520631</c:v>
                  </c:pt>
                </c:numCache>
              </c:numRef>
            </c:minus>
            <c:spPr>
              <a:ln w="12700">
                <a:solidFill>
                  <a:srgbClr val="000000"/>
                </a:solidFill>
                <a:prstDash val="solid"/>
              </a:ln>
            </c:spPr>
          </c:errBars>
          <c:xVal>
            <c:numRef>
              <c:f>'Time-series deltas'!$S$38:$W$38</c:f>
              <c:numCache>
                <c:formatCode>0.0</c:formatCode>
                <c:ptCount val="5"/>
                <c:pt idx="0">
                  <c:v>1.06</c:v>
                </c:pt>
                <c:pt idx="1">
                  <c:v>2.06</c:v>
                </c:pt>
                <c:pt idx="2">
                  <c:v>3.06</c:v>
                </c:pt>
                <c:pt idx="3">
                  <c:v>4.0599999999999996</c:v>
                </c:pt>
                <c:pt idx="4">
                  <c:v>5.0599999999999996</c:v>
                </c:pt>
              </c:numCache>
            </c:numRef>
          </c:xVal>
          <c:yVal>
            <c:numRef>
              <c:f>'Time-series deltas'!$S$39:$W$39</c:f>
              <c:numCache>
                <c:formatCode>0.0</c:formatCode>
                <c:ptCount val="5"/>
                <c:pt idx="0">
                  <c:v>0</c:v>
                </c:pt>
                <c:pt idx="1">
                  <c:v>0</c:v>
                </c:pt>
                <c:pt idx="2">
                  <c:v>2.4399938598823354</c:v>
                </c:pt>
                <c:pt idx="3">
                  <c:v>1.0400567679005519</c:v>
                </c:pt>
                <c:pt idx="4">
                  <c:v>1.20849157610985</c:v>
                </c:pt>
              </c:numCache>
            </c:numRef>
          </c:yVal>
          <c:smooth val="0"/>
          <c:extLst>
            <c:ext xmlns:c16="http://schemas.microsoft.com/office/drawing/2014/chart" uri="{C3380CC4-5D6E-409C-BE32-E72D297353CC}">
              <c16:uniqueId val="{00000001-00DF-4701-A674-9572A0E68290}"/>
            </c:ext>
          </c:extLst>
        </c:ser>
        <c:dLbls>
          <c:showLegendKey val="0"/>
          <c:showVal val="0"/>
          <c:showCatName val="0"/>
          <c:showSerName val="0"/>
          <c:showPercent val="0"/>
          <c:showBubbleSize val="0"/>
        </c:dLbls>
        <c:axId val="215441792"/>
        <c:axId val="215443712"/>
      </c:scatterChart>
      <c:valAx>
        <c:axId val="21544179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50276154131040363"/>
              <c:y val="0.93694842361572273"/>
            </c:manualLayout>
          </c:layout>
          <c:overlay val="0"/>
          <c:spPr>
            <a:noFill/>
            <a:ln w="25400">
              <a:noFill/>
            </a:ln>
          </c:spPr>
        </c:title>
        <c:numFmt formatCode="0.0"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5443712"/>
        <c:crossesAt val="0"/>
        <c:crossBetween val="midCat"/>
      </c:valAx>
      <c:valAx>
        <c:axId val="21544371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215441792"/>
        <c:crosses val="autoZero"/>
        <c:crossBetween val="midCat"/>
      </c:valAx>
      <c:spPr>
        <a:solidFill>
          <a:srgbClr val="FFFFFF"/>
        </a:solidFill>
        <a:ln w="12700">
          <a:solidFill>
            <a:srgbClr val="808080"/>
          </a:solidFill>
          <a:prstDash val="solid"/>
        </a:ln>
      </c:spPr>
    </c:plotArea>
    <c:legend>
      <c:legendPos val="r"/>
      <c:layout>
        <c:manualLayout>
          <c:xMode val="edge"/>
          <c:yMode val="edge"/>
          <c:x val="0.43558282208588961"/>
          <c:y val="2.7523321632988648E-2"/>
          <c:w val="0.33839508558362713"/>
          <c:h val="0.10242639850741547"/>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16</xdr:col>
      <xdr:colOff>30480</xdr:colOff>
      <xdr:row>110</xdr:row>
      <xdr:rowOff>88672</xdr:rowOff>
    </xdr:from>
    <xdr:to>
      <xdr:col>16</xdr:col>
      <xdr:colOff>2506980</xdr:colOff>
      <xdr:row>125</xdr:row>
      <xdr:rowOff>76201</xdr:rowOff>
    </xdr:to>
    <xdr:graphicFrame macro="">
      <xdr:nvGraphicFramePr>
        <xdr:cNvPr id="2153972" name="Chart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xdr:colOff>
      <xdr:row>135</xdr:row>
      <xdr:rowOff>87087</xdr:rowOff>
    </xdr:from>
    <xdr:to>
      <xdr:col>16</xdr:col>
      <xdr:colOff>2514600</xdr:colOff>
      <xdr:row>150</xdr:row>
      <xdr:rowOff>151076</xdr:rowOff>
    </xdr:to>
    <xdr:graphicFrame macro="">
      <xdr:nvGraphicFramePr>
        <xdr:cNvPr id="2153973" name="Chart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38100</xdr:colOff>
      <xdr:row>155</xdr:row>
      <xdr:rowOff>13161</xdr:rowOff>
    </xdr:from>
    <xdr:to>
      <xdr:col>16</xdr:col>
      <xdr:colOff>2514600</xdr:colOff>
      <xdr:row>162</xdr:row>
      <xdr:rowOff>148936</xdr:rowOff>
    </xdr:to>
    <xdr:graphicFrame macro="">
      <xdr:nvGraphicFramePr>
        <xdr:cNvPr id="2153974" name="Chart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30480</xdr:colOff>
      <xdr:row>166</xdr:row>
      <xdr:rowOff>36023</xdr:rowOff>
    </xdr:from>
    <xdr:to>
      <xdr:col>16</xdr:col>
      <xdr:colOff>2506980</xdr:colOff>
      <xdr:row>178</xdr:row>
      <xdr:rowOff>142703</xdr:rowOff>
    </xdr:to>
    <xdr:graphicFrame macro="">
      <xdr:nvGraphicFramePr>
        <xdr:cNvPr id="2153975" name="Chart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30480</xdr:colOff>
      <xdr:row>110</xdr:row>
      <xdr:rowOff>56030</xdr:rowOff>
    </xdr:from>
    <xdr:to>
      <xdr:col>33</xdr:col>
      <xdr:colOff>2506980</xdr:colOff>
      <xdr:row>125</xdr:row>
      <xdr:rowOff>119743</xdr:rowOff>
    </xdr:to>
    <xdr:graphicFrame macro="">
      <xdr:nvGraphicFramePr>
        <xdr:cNvPr id="2153976"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121251</xdr:colOff>
      <xdr:row>135</xdr:row>
      <xdr:rowOff>50187</xdr:rowOff>
    </xdr:from>
    <xdr:to>
      <xdr:col>33</xdr:col>
      <xdr:colOff>2597751</xdr:colOff>
      <xdr:row>150</xdr:row>
      <xdr:rowOff>39757</xdr:rowOff>
    </xdr:to>
    <xdr:graphicFrame macro="">
      <xdr:nvGraphicFramePr>
        <xdr:cNvPr id="2153977"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112936</xdr:colOff>
      <xdr:row>155</xdr:row>
      <xdr:rowOff>275087</xdr:rowOff>
    </xdr:from>
    <xdr:to>
      <xdr:col>33</xdr:col>
      <xdr:colOff>2589436</xdr:colOff>
      <xdr:row>164</xdr:row>
      <xdr:rowOff>131300</xdr:rowOff>
    </xdr:to>
    <xdr:graphicFrame macro="">
      <xdr:nvGraphicFramePr>
        <xdr:cNvPr id="2153978" name="Chart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56807</xdr:colOff>
      <xdr:row>169</xdr:row>
      <xdr:rowOff>396679</xdr:rowOff>
    </xdr:from>
    <xdr:to>
      <xdr:col>33</xdr:col>
      <xdr:colOff>2533307</xdr:colOff>
      <xdr:row>182</xdr:row>
      <xdr:rowOff>108760</xdr:rowOff>
    </xdr:to>
    <xdr:graphicFrame macro="">
      <xdr:nvGraphicFramePr>
        <xdr:cNvPr id="2153979" name="Chart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662940</xdr:colOff>
      <xdr:row>170</xdr:row>
      <xdr:rowOff>0</xdr:rowOff>
    </xdr:from>
    <xdr:to>
      <xdr:col>1</xdr:col>
      <xdr:colOff>662940</xdr:colOff>
      <xdr:row>179</xdr:row>
      <xdr:rowOff>205740</xdr:rowOff>
    </xdr:to>
    <xdr:sp macro="" textlink="">
      <xdr:nvSpPr>
        <xdr:cNvPr id="2153980" name="Line 235"/>
        <xdr:cNvSpPr>
          <a:spLocks noChangeShapeType="1"/>
        </xdr:cNvSpPr>
      </xdr:nvSpPr>
      <xdr:spPr bwMode="auto">
        <a:xfrm>
          <a:off x="899160" y="30030420"/>
          <a:ext cx="0" cy="1684020"/>
        </a:xfrm>
        <a:prstGeom prst="line">
          <a:avLst/>
        </a:prstGeom>
        <a:noFill/>
        <a:ln w="76200">
          <a:solidFill>
            <a:srgbClr val="C0C0C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579120</xdr:colOff>
      <xdr:row>170</xdr:row>
      <xdr:rowOff>0</xdr:rowOff>
    </xdr:from>
    <xdr:to>
      <xdr:col>10</xdr:col>
      <xdr:colOff>579120</xdr:colOff>
      <xdr:row>179</xdr:row>
      <xdr:rowOff>205740</xdr:rowOff>
    </xdr:to>
    <xdr:sp macro="" textlink="">
      <xdr:nvSpPr>
        <xdr:cNvPr id="2153981" name="Line 236"/>
        <xdr:cNvSpPr>
          <a:spLocks noChangeShapeType="1"/>
        </xdr:cNvSpPr>
      </xdr:nvSpPr>
      <xdr:spPr bwMode="auto">
        <a:xfrm>
          <a:off x="5737860" y="30030420"/>
          <a:ext cx="0" cy="1684020"/>
        </a:xfrm>
        <a:prstGeom prst="line">
          <a:avLst/>
        </a:prstGeom>
        <a:noFill/>
        <a:ln w="76200">
          <a:solidFill>
            <a:srgbClr val="C0C0C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662940</xdr:colOff>
      <xdr:row>170</xdr:row>
      <xdr:rowOff>0</xdr:rowOff>
    </xdr:from>
    <xdr:to>
      <xdr:col>1</xdr:col>
      <xdr:colOff>662940</xdr:colOff>
      <xdr:row>179</xdr:row>
      <xdr:rowOff>205740</xdr:rowOff>
    </xdr:to>
    <xdr:sp macro="" textlink="">
      <xdr:nvSpPr>
        <xdr:cNvPr id="2153982" name="Line 320"/>
        <xdr:cNvSpPr>
          <a:spLocks noChangeShapeType="1"/>
        </xdr:cNvSpPr>
      </xdr:nvSpPr>
      <xdr:spPr bwMode="auto">
        <a:xfrm>
          <a:off x="899160" y="30030420"/>
          <a:ext cx="0" cy="1684020"/>
        </a:xfrm>
        <a:prstGeom prst="line">
          <a:avLst/>
        </a:prstGeom>
        <a:noFill/>
        <a:ln w="76200">
          <a:solidFill>
            <a:srgbClr val="C0C0C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579120</xdr:colOff>
      <xdr:row>170</xdr:row>
      <xdr:rowOff>0</xdr:rowOff>
    </xdr:from>
    <xdr:to>
      <xdr:col>10</xdr:col>
      <xdr:colOff>579120</xdr:colOff>
      <xdr:row>179</xdr:row>
      <xdr:rowOff>205740</xdr:rowOff>
    </xdr:to>
    <xdr:sp macro="" textlink="">
      <xdr:nvSpPr>
        <xdr:cNvPr id="2153983" name="Line 321"/>
        <xdr:cNvSpPr>
          <a:spLocks noChangeShapeType="1"/>
        </xdr:cNvSpPr>
      </xdr:nvSpPr>
      <xdr:spPr bwMode="auto">
        <a:xfrm>
          <a:off x="5737860" y="30030420"/>
          <a:ext cx="0" cy="1684020"/>
        </a:xfrm>
        <a:prstGeom prst="line">
          <a:avLst/>
        </a:prstGeom>
        <a:noFill/>
        <a:ln w="76200">
          <a:solidFill>
            <a:srgbClr val="C0C0C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30480</xdr:colOff>
      <xdr:row>14</xdr:row>
      <xdr:rowOff>99060</xdr:rowOff>
    </xdr:from>
    <xdr:to>
      <xdr:col>16</xdr:col>
      <xdr:colOff>2514600</xdr:colOff>
      <xdr:row>35</xdr:row>
      <xdr:rowOff>0</xdr:rowOff>
    </xdr:to>
    <xdr:graphicFrame macro="">
      <xdr:nvGraphicFramePr>
        <xdr:cNvPr id="2153984" name="Chart 9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144780</xdr:colOff>
      <xdr:row>23</xdr:row>
      <xdr:rowOff>106680</xdr:rowOff>
    </xdr:from>
    <xdr:to>
      <xdr:col>20</xdr:col>
      <xdr:colOff>388620</xdr:colOff>
      <xdr:row>29</xdr:row>
      <xdr:rowOff>160020</xdr:rowOff>
    </xdr:to>
    <xdr:sp macro="" textlink="">
      <xdr:nvSpPr>
        <xdr:cNvPr id="2153985" name="Line 934"/>
        <xdr:cNvSpPr>
          <a:spLocks noChangeShapeType="1"/>
        </xdr:cNvSpPr>
      </xdr:nvSpPr>
      <xdr:spPr bwMode="auto">
        <a:xfrm flipV="1">
          <a:off x="12352020" y="3177540"/>
          <a:ext cx="2453640" cy="967740"/>
        </a:xfrm>
        <a:prstGeom prst="line">
          <a:avLst/>
        </a:prstGeom>
        <a:noFill/>
        <a:ln w="57150">
          <a:solidFill>
            <a:srgbClr val="C0C0C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175260</xdr:colOff>
      <xdr:row>32</xdr:row>
      <xdr:rowOff>137160</xdr:rowOff>
    </xdr:from>
    <xdr:to>
      <xdr:col>32</xdr:col>
      <xdr:colOff>541020</xdr:colOff>
      <xdr:row>32</xdr:row>
      <xdr:rowOff>137160</xdr:rowOff>
    </xdr:to>
    <xdr:sp macro="" textlink="">
      <xdr:nvSpPr>
        <xdr:cNvPr id="2153986" name="Line 935"/>
        <xdr:cNvSpPr>
          <a:spLocks noChangeShapeType="1"/>
        </xdr:cNvSpPr>
      </xdr:nvSpPr>
      <xdr:spPr bwMode="auto">
        <a:xfrm flipV="1">
          <a:off x="17686020" y="4442460"/>
          <a:ext cx="4282440" cy="0"/>
        </a:xfrm>
        <a:prstGeom prst="line">
          <a:avLst/>
        </a:prstGeom>
        <a:noFill/>
        <a:ln w="57150">
          <a:solidFill>
            <a:srgbClr val="C0C0C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38100</xdr:colOff>
      <xdr:row>9</xdr:row>
      <xdr:rowOff>137160</xdr:rowOff>
    </xdr:from>
    <xdr:to>
      <xdr:col>33</xdr:col>
      <xdr:colOff>2522220</xdr:colOff>
      <xdr:row>32</xdr:row>
      <xdr:rowOff>152400</xdr:rowOff>
    </xdr:to>
    <xdr:graphicFrame macro="">
      <xdr:nvGraphicFramePr>
        <xdr:cNvPr id="2153987"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38100</xdr:colOff>
      <xdr:row>35</xdr:row>
      <xdr:rowOff>91440</xdr:rowOff>
    </xdr:from>
    <xdr:to>
      <xdr:col>16</xdr:col>
      <xdr:colOff>2513753</xdr:colOff>
      <xdr:row>51</xdr:row>
      <xdr:rowOff>0</xdr:rowOff>
    </xdr:to>
    <xdr:graphicFrame macro="">
      <xdr:nvGraphicFramePr>
        <xdr:cNvPr id="2153988" name="Chart 9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33</xdr:col>
      <xdr:colOff>45720</xdr:colOff>
      <xdr:row>33</xdr:row>
      <xdr:rowOff>83820</xdr:rowOff>
    </xdr:from>
    <xdr:to>
      <xdr:col>33</xdr:col>
      <xdr:colOff>2529840</xdr:colOff>
      <xdr:row>51</xdr:row>
      <xdr:rowOff>7620</xdr:rowOff>
    </xdr:to>
    <xdr:graphicFrame macro="">
      <xdr:nvGraphicFramePr>
        <xdr:cNvPr id="2153989"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203199</xdr:colOff>
      <xdr:row>110</xdr:row>
      <xdr:rowOff>79512</xdr:rowOff>
    </xdr:from>
    <xdr:to>
      <xdr:col>37</xdr:col>
      <xdr:colOff>585856</xdr:colOff>
      <xdr:row>125</xdr:row>
      <xdr:rowOff>143225</xdr:rowOff>
    </xdr:to>
    <xdr:graphicFrame macro="">
      <xdr:nvGraphicFramePr>
        <xdr:cNvPr id="21"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34</xdr:col>
      <xdr:colOff>85229</xdr:colOff>
      <xdr:row>135</xdr:row>
      <xdr:rowOff>48333</xdr:rowOff>
    </xdr:from>
    <xdr:to>
      <xdr:col>37</xdr:col>
      <xdr:colOff>467886</xdr:colOff>
      <xdr:row>150</xdr:row>
      <xdr:rowOff>31805</xdr:rowOff>
    </xdr:to>
    <xdr:graphicFrame macro="">
      <xdr:nvGraphicFramePr>
        <xdr:cNvPr id="22"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77953</xdr:colOff>
      <xdr:row>155</xdr:row>
      <xdr:rowOff>271282</xdr:rowOff>
    </xdr:from>
    <xdr:to>
      <xdr:col>37</xdr:col>
      <xdr:colOff>460610</xdr:colOff>
      <xdr:row>164</xdr:row>
      <xdr:rowOff>148424</xdr:rowOff>
    </xdr:to>
    <xdr:graphicFrame macro="">
      <xdr:nvGraphicFramePr>
        <xdr:cNvPr id="23"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34</xdr:col>
      <xdr:colOff>37417</xdr:colOff>
      <xdr:row>169</xdr:row>
      <xdr:rowOff>336760</xdr:rowOff>
    </xdr:from>
    <xdr:to>
      <xdr:col>37</xdr:col>
      <xdr:colOff>420074</xdr:colOff>
      <xdr:row>182</xdr:row>
      <xdr:rowOff>108814</xdr:rowOff>
    </xdr:to>
    <xdr:graphicFrame macro="">
      <xdr:nvGraphicFramePr>
        <xdr:cNvPr id="24"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0.02902</cdr:x>
      <cdr:y>0.02078</cdr:y>
    </cdr:from>
    <cdr:to>
      <cdr:x>0.38064</cdr:x>
      <cdr:y>0.09397</cdr:y>
    </cdr:to>
    <cdr:sp macro="" textlink="">
      <cdr:nvSpPr>
        <cdr:cNvPr id="81922" name="Text Box 2"/>
        <cdr:cNvSpPr txBox="1">
          <a:spLocks xmlns:a="http://schemas.openxmlformats.org/drawingml/2006/main" noChangeArrowheads="1"/>
        </cdr:cNvSpPr>
      </cdr:nvSpPr>
      <cdr:spPr bwMode="auto">
        <a:xfrm xmlns:a="http://schemas.openxmlformats.org/drawingml/2006/main">
          <a:off x="71863" y="51673"/>
          <a:ext cx="870787" cy="1820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3.xml><?xml version="1.0" encoding="utf-8"?>
<c:userShapes xmlns:c="http://schemas.openxmlformats.org/drawingml/2006/chart">
  <cdr:relSizeAnchor xmlns:cdr="http://schemas.openxmlformats.org/drawingml/2006/chartDrawing">
    <cdr:from>
      <cdr:x>0.0285</cdr:x>
      <cdr:y>0.01453</cdr:y>
    </cdr:from>
    <cdr:to>
      <cdr:x>0.39354</cdr:x>
      <cdr:y>0.08152</cdr:y>
    </cdr:to>
    <cdr:sp macro="" textlink="">
      <cdr:nvSpPr>
        <cdr:cNvPr id="82946" name="Text Box 2"/>
        <cdr:cNvSpPr txBox="1">
          <a:spLocks xmlns:a="http://schemas.openxmlformats.org/drawingml/2006/main" noChangeArrowheads="1"/>
        </cdr:cNvSpPr>
      </cdr:nvSpPr>
      <cdr:spPr bwMode="auto">
        <a:xfrm xmlns:a="http://schemas.openxmlformats.org/drawingml/2006/main">
          <a:off x="70580" y="34558"/>
          <a:ext cx="904021" cy="1593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4.xml><?xml version="1.0" encoding="utf-8"?>
<c:userShapes xmlns:c="http://schemas.openxmlformats.org/drawingml/2006/chart">
  <cdr:relSizeAnchor xmlns:cdr="http://schemas.openxmlformats.org/drawingml/2006/chartDrawing">
    <cdr:from>
      <cdr:x>0.04593</cdr:x>
      <cdr:y>0.0098</cdr:y>
    </cdr:from>
    <cdr:to>
      <cdr:x>0.41166</cdr:x>
      <cdr:y>0.07043</cdr:y>
    </cdr:to>
    <cdr:sp macro="" textlink="">
      <cdr:nvSpPr>
        <cdr:cNvPr id="83970" name="Text Box 2"/>
        <cdr:cNvSpPr txBox="1">
          <a:spLocks xmlns:a="http://schemas.openxmlformats.org/drawingml/2006/main" noChangeArrowheads="1"/>
        </cdr:cNvSpPr>
      </cdr:nvSpPr>
      <cdr:spPr bwMode="auto">
        <a:xfrm xmlns:a="http://schemas.openxmlformats.org/drawingml/2006/main">
          <a:off x="113737" y="26748"/>
          <a:ext cx="905731" cy="1654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5.xml><?xml version="1.0" encoding="utf-8"?>
<c:userShapes xmlns:c="http://schemas.openxmlformats.org/drawingml/2006/chart">
  <cdr:relSizeAnchor xmlns:cdr="http://schemas.openxmlformats.org/drawingml/2006/chartDrawing">
    <cdr:from>
      <cdr:x>0.07079</cdr:x>
      <cdr:y>0.02141</cdr:y>
    </cdr:from>
    <cdr:to>
      <cdr:x>0.49003</cdr:x>
      <cdr:y>0.09492</cdr:y>
    </cdr:to>
    <cdr:sp macro="" textlink="">
      <cdr:nvSpPr>
        <cdr:cNvPr id="84994" name="Text Box 2"/>
        <cdr:cNvSpPr txBox="1">
          <a:spLocks xmlns:a="http://schemas.openxmlformats.org/drawingml/2006/main" noChangeArrowheads="1"/>
        </cdr:cNvSpPr>
      </cdr:nvSpPr>
      <cdr:spPr bwMode="auto">
        <a:xfrm xmlns:a="http://schemas.openxmlformats.org/drawingml/2006/main">
          <a:off x="175311" y="57482"/>
          <a:ext cx="1038248" cy="197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6.xml><?xml version="1.0" encoding="utf-8"?>
<c:userShapes xmlns:c="http://schemas.openxmlformats.org/drawingml/2006/chart">
  <cdr:relSizeAnchor xmlns:cdr="http://schemas.openxmlformats.org/drawingml/2006/chartDrawing">
    <cdr:from>
      <cdr:x>0.03684</cdr:x>
      <cdr:y>0.0243</cdr:y>
    </cdr:from>
    <cdr:to>
      <cdr:x>0.51057</cdr:x>
      <cdr:y>0.09554</cdr:y>
    </cdr:to>
    <cdr:sp macro="" textlink="">
      <cdr:nvSpPr>
        <cdr:cNvPr id="86018" name="Text Box 2"/>
        <cdr:cNvSpPr txBox="1">
          <a:spLocks xmlns:a="http://schemas.openxmlformats.org/drawingml/2006/main" noChangeArrowheads="1"/>
        </cdr:cNvSpPr>
      </cdr:nvSpPr>
      <cdr:spPr bwMode="auto">
        <a:xfrm xmlns:a="http://schemas.openxmlformats.org/drawingml/2006/main">
          <a:off x="91235" y="71757"/>
          <a:ext cx="1173193" cy="2103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Log-transformed</a:t>
          </a:r>
        </a:p>
      </cdr:txBody>
    </cdr:sp>
  </cdr:relSizeAnchor>
</c:userShapes>
</file>

<file path=xl/drawings/drawing7.xml><?xml version="1.0" encoding="utf-8"?>
<c:userShapes xmlns:c="http://schemas.openxmlformats.org/drawingml/2006/chart">
  <cdr:relSizeAnchor xmlns:cdr="http://schemas.openxmlformats.org/drawingml/2006/chartDrawing">
    <cdr:from>
      <cdr:x>0.01825</cdr:x>
      <cdr:y>0.02165</cdr:y>
    </cdr:from>
    <cdr:to>
      <cdr:x>0.50183</cdr:x>
      <cdr:y>0.08861</cdr:y>
    </cdr:to>
    <cdr:sp macro="" textlink="">
      <cdr:nvSpPr>
        <cdr:cNvPr id="87042" name="Text Box 1026"/>
        <cdr:cNvSpPr txBox="1">
          <a:spLocks xmlns:a="http://schemas.openxmlformats.org/drawingml/2006/main" noChangeArrowheads="1"/>
        </cdr:cNvSpPr>
      </cdr:nvSpPr>
      <cdr:spPr bwMode="auto">
        <a:xfrm xmlns:a="http://schemas.openxmlformats.org/drawingml/2006/main">
          <a:off x="45196" y="55855"/>
          <a:ext cx="1197586" cy="1727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Log-transformed</a:t>
          </a:r>
        </a:p>
      </cdr:txBody>
    </cdr:sp>
  </cdr:relSizeAnchor>
</c:userShapes>
</file>

<file path=xl/drawings/drawing8.xml><?xml version="1.0" encoding="utf-8"?>
<c:userShapes xmlns:c="http://schemas.openxmlformats.org/drawingml/2006/chart">
  <cdr:relSizeAnchor xmlns:cdr="http://schemas.openxmlformats.org/drawingml/2006/chartDrawing">
    <cdr:from>
      <cdr:x>0.01777</cdr:x>
      <cdr:y>0.01815</cdr:y>
    </cdr:from>
    <cdr:to>
      <cdr:x>0.54864</cdr:x>
      <cdr:y>0.07851</cdr:y>
    </cdr:to>
    <cdr:sp macro="" textlink="">
      <cdr:nvSpPr>
        <cdr:cNvPr id="88066" name="Text Box 1026"/>
        <cdr:cNvSpPr txBox="1">
          <a:spLocks xmlns:a="http://schemas.openxmlformats.org/drawingml/2006/main" noChangeArrowheads="1"/>
        </cdr:cNvSpPr>
      </cdr:nvSpPr>
      <cdr:spPr bwMode="auto">
        <a:xfrm xmlns:a="http://schemas.openxmlformats.org/drawingml/2006/main">
          <a:off x="44007" y="47813"/>
          <a:ext cx="1314700" cy="1590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Log-transformed</a:t>
          </a:r>
        </a:p>
      </cdr:txBody>
    </cdr:sp>
  </cdr:relSizeAnchor>
</c:userShapes>
</file>

<file path=xl/drawings/drawing9.xml><?xml version="1.0" encoding="utf-8"?>
<c:userShapes xmlns:c="http://schemas.openxmlformats.org/drawingml/2006/chart">
  <cdr:relSizeAnchor xmlns:cdr="http://schemas.openxmlformats.org/drawingml/2006/chartDrawing">
    <cdr:from>
      <cdr:x>0.01921</cdr:x>
      <cdr:y>0.02165</cdr:y>
    </cdr:from>
    <cdr:to>
      <cdr:x>0.52272</cdr:x>
      <cdr:y>0.08087</cdr:y>
    </cdr:to>
    <cdr:sp macro="" textlink="">
      <cdr:nvSpPr>
        <cdr:cNvPr id="89090" name="Text Box 1026"/>
        <cdr:cNvSpPr txBox="1">
          <a:spLocks xmlns:a="http://schemas.openxmlformats.org/drawingml/2006/main" noChangeArrowheads="1"/>
        </cdr:cNvSpPr>
      </cdr:nvSpPr>
      <cdr:spPr bwMode="auto">
        <a:xfrm xmlns:a="http://schemas.openxmlformats.org/drawingml/2006/main">
          <a:off x="47574" y="59745"/>
          <a:ext cx="1246942" cy="1634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Log-transformed</a:t>
          </a:r>
        </a:p>
      </cdr:txBody>
    </cdr:sp>
  </cdr:relSizeAnchor>
</c:userShapes>
</file>

<file path=xl/drawings/drawing10.xml><?xml version="1.0" encoding="utf-8"?>
<c:userShapes xmlns:c="http://schemas.openxmlformats.org/drawingml/2006/chart">
  <cdr:relSizeAnchor xmlns:cdr="http://schemas.openxmlformats.org/drawingml/2006/chartDrawing">
    <cdr:from>
      <cdr:x>0.03258</cdr:x>
      <cdr:y>0.02024</cdr:y>
    </cdr:from>
    <cdr:to>
      <cdr:x>0.34701</cdr:x>
      <cdr:y>0.15602</cdr:y>
    </cdr:to>
    <cdr:sp macro="" textlink="">
      <cdr:nvSpPr>
        <cdr:cNvPr id="194562" name="Text Box 2"/>
        <cdr:cNvSpPr txBox="1">
          <a:spLocks xmlns:a="http://schemas.openxmlformats.org/drawingml/2006/main" noChangeArrowheads="1"/>
        </cdr:cNvSpPr>
      </cdr:nvSpPr>
      <cdr:spPr bwMode="auto">
        <a:xfrm xmlns:a="http://schemas.openxmlformats.org/drawingml/2006/main">
          <a:off x="82887" y="50800"/>
          <a:ext cx="781181" cy="3075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11.xml><?xml version="1.0" encoding="utf-8"?>
<c:userShapes xmlns:c="http://schemas.openxmlformats.org/drawingml/2006/chart">
  <cdr:relSizeAnchor xmlns:cdr="http://schemas.openxmlformats.org/drawingml/2006/chartDrawing">
    <cdr:from>
      <cdr:x>0.03618</cdr:x>
      <cdr:y>0.02024</cdr:y>
    </cdr:from>
    <cdr:to>
      <cdr:x>0.55759</cdr:x>
      <cdr:y>0.14809</cdr:y>
    </cdr:to>
    <cdr:sp macro="" textlink="">
      <cdr:nvSpPr>
        <cdr:cNvPr id="201730" name="Text Box 2"/>
        <cdr:cNvSpPr txBox="1">
          <a:spLocks xmlns:a="http://schemas.openxmlformats.org/drawingml/2006/main" noChangeArrowheads="1"/>
        </cdr:cNvSpPr>
      </cdr:nvSpPr>
      <cdr:spPr bwMode="auto">
        <a:xfrm xmlns:a="http://schemas.openxmlformats.org/drawingml/2006/main">
          <a:off x="78220" y="50800"/>
          <a:ext cx="1202400" cy="2291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drawings/drawing12.xml><?xml version="1.0" encoding="utf-8"?>
<c:userShapes xmlns:c="http://schemas.openxmlformats.org/drawingml/2006/chart">
  <cdr:relSizeAnchor xmlns:cdr="http://schemas.openxmlformats.org/drawingml/2006/chartDrawing">
    <cdr:from>
      <cdr:x>0.03258</cdr:x>
      <cdr:y>0.02024</cdr:y>
    </cdr:from>
    <cdr:to>
      <cdr:x>0.34701</cdr:x>
      <cdr:y>0.15602</cdr:y>
    </cdr:to>
    <cdr:sp macro="" textlink="">
      <cdr:nvSpPr>
        <cdr:cNvPr id="194562" name="Text Box 2"/>
        <cdr:cNvSpPr txBox="1">
          <a:spLocks xmlns:a="http://schemas.openxmlformats.org/drawingml/2006/main" noChangeArrowheads="1"/>
        </cdr:cNvSpPr>
      </cdr:nvSpPr>
      <cdr:spPr bwMode="auto">
        <a:xfrm xmlns:a="http://schemas.openxmlformats.org/drawingml/2006/main">
          <a:off x="82887" y="50800"/>
          <a:ext cx="781181" cy="3075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13.xml><?xml version="1.0" encoding="utf-8"?>
<c:userShapes xmlns:c="http://schemas.openxmlformats.org/drawingml/2006/chart">
  <cdr:relSizeAnchor xmlns:cdr="http://schemas.openxmlformats.org/drawingml/2006/chartDrawing">
    <cdr:from>
      <cdr:x>0.03618</cdr:x>
      <cdr:y>0.02024</cdr:y>
    </cdr:from>
    <cdr:to>
      <cdr:x>0.55759</cdr:x>
      <cdr:y>0.14809</cdr:y>
    </cdr:to>
    <cdr:sp macro="" textlink="">
      <cdr:nvSpPr>
        <cdr:cNvPr id="201730" name="Text Box 2"/>
        <cdr:cNvSpPr txBox="1">
          <a:spLocks xmlns:a="http://schemas.openxmlformats.org/drawingml/2006/main" noChangeArrowheads="1"/>
        </cdr:cNvSpPr>
      </cdr:nvSpPr>
      <cdr:spPr bwMode="auto">
        <a:xfrm xmlns:a="http://schemas.openxmlformats.org/drawingml/2006/main">
          <a:off x="78220" y="50800"/>
          <a:ext cx="1202400" cy="2291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drawings/drawing14.xml><?xml version="1.0" encoding="utf-8"?>
<c:userShapes xmlns:c="http://schemas.openxmlformats.org/drawingml/2006/chart">
  <cdr:relSizeAnchor xmlns:cdr="http://schemas.openxmlformats.org/drawingml/2006/chartDrawing">
    <cdr:from>
      <cdr:x>0.04041</cdr:x>
      <cdr:y>0.00934</cdr:y>
    </cdr:from>
    <cdr:to>
      <cdr:x>0.37815</cdr:x>
      <cdr:y>0.1137</cdr:y>
    </cdr:to>
    <cdr:sp macro="" textlink="">
      <cdr:nvSpPr>
        <cdr:cNvPr id="86018" name="Text Box 2"/>
        <cdr:cNvSpPr txBox="1">
          <a:spLocks xmlns:a="http://schemas.openxmlformats.org/drawingml/2006/main" noChangeArrowheads="1"/>
        </cdr:cNvSpPr>
      </cdr:nvSpPr>
      <cdr:spPr bwMode="auto">
        <a:xfrm xmlns:a="http://schemas.openxmlformats.org/drawingml/2006/main">
          <a:off x="100071" y="27582"/>
          <a:ext cx="836417" cy="308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800" b="0" i="0" strike="noStrike">
              <a:solidFill>
                <a:srgbClr val="000000"/>
              </a:solidFill>
              <a:latin typeface="Arial Narrow"/>
            </a:rPr>
            <a:t>Back-transformed factors</a:t>
          </a:r>
        </a:p>
      </cdr:txBody>
    </cdr:sp>
  </cdr:relSizeAnchor>
</c:userShapes>
</file>

<file path=xl/drawings/drawing15.xml><?xml version="1.0" encoding="utf-8"?>
<c:userShapes xmlns:c="http://schemas.openxmlformats.org/drawingml/2006/chart">
  <cdr:relSizeAnchor xmlns:cdr="http://schemas.openxmlformats.org/drawingml/2006/chartDrawing">
    <cdr:from>
      <cdr:x>0.01825</cdr:x>
      <cdr:y>0.02165</cdr:y>
    </cdr:from>
    <cdr:to>
      <cdr:x>0.37565</cdr:x>
      <cdr:y>0.12211</cdr:y>
    </cdr:to>
    <cdr:sp macro="" textlink="">
      <cdr:nvSpPr>
        <cdr:cNvPr id="87042" name="Text Box 1026"/>
        <cdr:cNvSpPr txBox="1">
          <a:spLocks xmlns:a="http://schemas.openxmlformats.org/drawingml/2006/main" noChangeArrowheads="1"/>
        </cdr:cNvSpPr>
      </cdr:nvSpPr>
      <cdr:spPr bwMode="auto">
        <a:xfrm xmlns:a="http://schemas.openxmlformats.org/drawingml/2006/main">
          <a:off x="45395" y="61088"/>
          <a:ext cx="889014" cy="2834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rtl="0"/>
          <a:r>
            <a:rPr lang="en-US" sz="800" b="0" i="0">
              <a:effectLst/>
              <a:latin typeface="+mn-lt"/>
              <a:ea typeface="+mn-ea"/>
              <a:cs typeface="+mn-cs"/>
            </a:rPr>
            <a:t>Back-transformed factors</a:t>
          </a:r>
          <a:endParaRPr lang="en-AU" sz="800">
            <a:effectLst/>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0.04041</cdr:x>
      <cdr:y>0.00934</cdr:y>
    </cdr:from>
    <cdr:to>
      <cdr:x>0.37815</cdr:x>
      <cdr:y>0.1137</cdr:y>
    </cdr:to>
    <cdr:sp macro="" textlink="">
      <cdr:nvSpPr>
        <cdr:cNvPr id="86018" name="Text Box 2"/>
        <cdr:cNvSpPr txBox="1">
          <a:spLocks xmlns:a="http://schemas.openxmlformats.org/drawingml/2006/main" noChangeArrowheads="1"/>
        </cdr:cNvSpPr>
      </cdr:nvSpPr>
      <cdr:spPr bwMode="auto">
        <a:xfrm xmlns:a="http://schemas.openxmlformats.org/drawingml/2006/main">
          <a:off x="100071" y="27582"/>
          <a:ext cx="836417" cy="308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800" b="0" i="0" strike="noStrike">
              <a:solidFill>
                <a:srgbClr val="000000"/>
              </a:solidFill>
              <a:latin typeface="Arial Narrow"/>
            </a:rPr>
            <a:t>Back-transformed factors</a:t>
          </a:r>
        </a:p>
      </cdr:txBody>
    </cdr:sp>
  </cdr:relSizeAnchor>
</c:userShapes>
</file>

<file path=xl/drawings/drawing17.xml><?xml version="1.0" encoding="utf-8"?>
<c:userShapes xmlns:c="http://schemas.openxmlformats.org/drawingml/2006/chart">
  <cdr:relSizeAnchor xmlns:cdr="http://schemas.openxmlformats.org/drawingml/2006/chartDrawing">
    <cdr:from>
      <cdr:x>0.01825</cdr:x>
      <cdr:y>0.02165</cdr:y>
    </cdr:from>
    <cdr:to>
      <cdr:x>0.38359</cdr:x>
      <cdr:y>0.14602</cdr:y>
    </cdr:to>
    <cdr:sp macro="" textlink="">
      <cdr:nvSpPr>
        <cdr:cNvPr id="87042" name="Text Box 1026"/>
        <cdr:cNvSpPr txBox="1">
          <a:spLocks xmlns:a="http://schemas.openxmlformats.org/drawingml/2006/main" noChangeArrowheads="1"/>
        </cdr:cNvSpPr>
      </cdr:nvSpPr>
      <cdr:spPr bwMode="auto">
        <a:xfrm xmlns:a="http://schemas.openxmlformats.org/drawingml/2006/main">
          <a:off x="45396" y="58253"/>
          <a:ext cx="908762" cy="3346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0" i="0">
              <a:effectLst/>
              <a:latin typeface="+mn-lt"/>
              <a:ea typeface="+mn-ea"/>
              <a:cs typeface="+mn-cs"/>
            </a:rPr>
            <a:t>Back-transformed factors</a:t>
          </a:r>
          <a:endParaRPr lang="en-AU" sz="800">
            <a:effectLst/>
          </a:endParaRPr>
        </a:p>
        <a:p xmlns:a="http://schemas.openxmlformats.org/drawingml/2006/main">
          <a:pPr algn="l" rtl="0">
            <a:defRPr sz="1000"/>
          </a:pPr>
          <a:endParaRPr lang="en-US" sz="800" b="0" i="0" strike="noStrike">
            <a:solidFill>
              <a:srgbClr val="000000"/>
            </a:solidFill>
            <a:latin typeface="Arial Narrow"/>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12</xdr:col>
      <xdr:colOff>30480</xdr:colOff>
      <xdr:row>10</xdr:row>
      <xdr:rowOff>99060</xdr:rowOff>
    </xdr:from>
    <xdr:to>
      <xdr:col>12</xdr:col>
      <xdr:colOff>2514600</xdr:colOff>
      <xdr:row>30</xdr:row>
      <xdr:rowOff>0</xdr:rowOff>
    </xdr:to>
    <xdr:graphicFrame macro="">
      <xdr:nvGraphicFramePr>
        <xdr:cNvPr id="14" name="Chart 9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142875</xdr:colOff>
      <xdr:row>11</xdr:row>
      <xdr:rowOff>9524</xdr:rowOff>
    </xdr:from>
    <xdr:to>
      <xdr:col>16</xdr:col>
      <xdr:colOff>400049</xdr:colOff>
      <xdr:row>28</xdr:row>
      <xdr:rowOff>95249</xdr:rowOff>
    </xdr:to>
    <xdr:sp macro="" textlink="">
      <xdr:nvSpPr>
        <xdr:cNvPr id="15" name="Line 934"/>
        <xdr:cNvSpPr>
          <a:spLocks noChangeShapeType="1"/>
        </xdr:cNvSpPr>
      </xdr:nvSpPr>
      <xdr:spPr bwMode="auto">
        <a:xfrm flipV="1">
          <a:off x="9953625" y="2162174"/>
          <a:ext cx="2466974" cy="2714625"/>
        </a:xfrm>
        <a:prstGeom prst="line">
          <a:avLst/>
        </a:prstGeom>
        <a:noFill/>
        <a:ln w="57150">
          <a:solidFill>
            <a:srgbClr val="C0C0C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175260</xdr:colOff>
      <xdr:row>27</xdr:row>
      <xdr:rowOff>137160</xdr:rowOff>
    </xdr:from>
    <xdr:to>
      <xdr:col>25</xdr:col>
      <xdr:colOff>0</xdr:colOff>
      <xdr:row>27</xdr:row>
      <xdr:rowOff>137160</xdr:rowOff>
    </xdr:to>
    <xdr:sp macro="" textlink="">
      <xdr:nvSpPr>
        <xdr:cNvPr id="16" name="Line 935"/>
        <xdr:cNvSpPr>
          <a:spLocks noChangeShapeType="1"/>
        </xdr:cNvSpPr>
      </xdr:nvSpPr>
      <xdr:spPr bwMode="auto">
        <a:xfrm flipV="1">
          <a:off x="17960340" y="4602480"/>
          <a:ext cx="4579620" cy="0"/>
        </a:xfrm>
        <a:prstGeom prst="line">
          <a:avLst/>
        </a:prstGeom>
        <a:noFill/>
        <a:ln w="57150">
          <a:solidFill>
            <a:srgbClr val="C0C0C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38100</xdr:colOff>
      <xdr:row>6</xdr:row>
      <xdr:rowOff>137160</xdr:rowOff>
    </xdr:from>
    <xdr:to>
      <xdr:col>25</xdr:col>
      <xdr:colOff>2522220</xdr:colOff>
      <xdr:row>27</xdr:row>
      <xdr:rowOff>152400</xdr:rowOff>
    </xdr:to>
    <xdr:graphicFrame macro="">
      <xdr:nvGraphicFramePr>
        <xdr:cNvPr id="17"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xdr:colOff>
      <xdr:row>30</xdr:row>
      <xdr:rowOff>91440</xdr:rowOff>
    </xdr:from>
    <xdr:to>
      <xdr:col>12</xdr:col>
      <xdr:colOff>2522220</xdr:colOff>
      <xdr:row>46</xdr:row>
      <xdr:rowOff>0</xdr:rowOff>
    </xdr:to>
    <xdr:graphicFrame macro="">
      <xdr:nvGraphicFramePr>
        <xdr:cNvPr id="18" name="Chart 9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45720</xdr:colOff>
      <xdr:row>28</xdr:row>
      <xdr:rowOff>114300</xdr:rowOff>
    </xdr:from>
    <xdr:to>
      <xdr:col>25</xdr:col>
      <xdr:colOff>2529840</xdr:colOff>
      <xdr:row>46</xdr:row>
      <xdr:rowOff>38100</xdr:rowOff>
    </xdr:to>
    <xdr:graphicFrame macro="">
      <xdr:nvGraphicFramePr>
        <xdr:cNvPr id="19"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76200</xdr:colOff>
      <xdr:row>6</xdr:row>
      <xdr:rowOff>133350</xdr:rowOff>
    </xdr:from>
    <xdr:to>
      <xdr:col>30</xdr:col>
      <xdr:colOff>121920</xdr:colOff>
      <xdr:row>27</xdr:row>
      <xdr:rowOff>148590</xdr:rowOff>
    </xdr:to>
    <xdr:graphicFrame macro="">
      <xdr:nvGraphicFramePr>
        <xdr:cNvPr id="20"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83820</xdr:colOff>
      <xdr:row>28</xdr:row>
      <xdr:rowOff>110490</xdr:rowOff>
    </xdr:from>
    <xdr:to>
      <xdr:col>30</xdr:col>
      <xdr:colOff>129540</xdr:colOff>
      <xdr:row>46</xdr:row>
      <xdr:rowOff>34290</xdr:rowOff>
    </xdr:to>
    <xdr:graphicFrame macro="">
      <xdr:nvGraphicFramePr>
        <xdr:cNvPr id="21" name="Chart 9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0.03258</cdr:x>
      <cdr:y>0.02024</cdr:y>
    </cdr:from>
    <cdr:to>
      <cdr:x>0.34701</cdr:x>
      <cdr:y>0.15602</cdr:y>
    </cdr:to>
    <cdr:sp macro="" textlink="">
      <cdr:nvSpPr>
        <cdr:cNvPr id="194562" name="Text Box 2"/>
        <cdr:cNvSpPr txBox="1">
          <a:spLocks xmlns:a="http://schemas.openxmlformats.org/drawingml/2006/main" noChangeArrowheads="1"/>
        </cdr:cNvSpPr>
      </cdr:nvSpPr>
      <cdr:spPr bwMode="auto">
        <a:xfrm xmlns:a="http://schemas.openxmlformats.org/drawingml/2006/main">
          <a:off x="82887" y="50800"/>
          <a:ext cx="781181" cy="3075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20.xml><?xml version="1.0" encoding="utf-8"?>
<c:userShapes xmlns:c="http://schemas.openxmlformats.org/drawingml/2006/chart">
  <cdr:relSizeAnchor xmlns:cdr="http://schemas.openxmlformats.org/drawingml/2006/chartDrawing">
    <cdr:from>
      <cdr:x>0.03618</cdr:x>
      <cdr:y>0.02024</cdr:y>
    </cdr:from>
    <cdr:to>
      <cdr:x>0.55759</cdr:x>
      <cdr:y>0.07507</cdr:y>
    </cdr:to>
    <cdr:sp macro="" textlink="">
      <cdr:nvSpPr>
        <cdr:cNvPr id="201730" name="Text Box 2"/>
        <cdr:cNvSpPr txBox="1">
          <a:spLocks xmlns:a="http://schemas.openxmlformats.org/drawingml/2006/main" noChangeArrowheads="1"/>
        </cdr:cNvSpPr>
      </cdr:nvSpPr>
      <cdr:spPr bwMode="auto">
        <a:xfrm xmlns:a="http://schemas.openxmlformats.org/drawingml/2006/main">
          <a:off x="89875" y="65746"/>
          <a:ext cx="1295245" cy="1780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drawings/drawing21.xml><?xml version="1.0" encoding="utf-8"?>
<c:userShapes xmlns:c="http://schemas.openxmlformats.org/drawingml/2006/chart">
  <cdr:relSizeAnchor xmlns:cdr="http://schemas.openxmlformats.org/drawingml/2006/chartDrawing">
    <cdr:from>
      <cdr:x>0.03258</cdr:x>
      <cdr:y>0.02024</cdr:y>
    </cdr:from>
    <cdr:to>
      <cdr:x>0.34701</cdr:x>
      <cdr:y>0.15602</cdr:y>
    </cdr:to>
    <cdr:sp macro="" textlink="">
      <cdr:nvSpPr>
        <cdr:cNvPr id="194562" name="Text Box 2"/>
        <cdr:cNvSpPr txBox="1">
          <a:spLocks xmlns:a="http://schemas.openxmlformats.org/drawingml/2006/main" noChangeArrowheads="1"/>
        </cdr:cNvSpPr>
      </cdr:nvSpPr>
      <cdr:spPr bwMode="auto">
        <a:xfrm xmlns:a="http://schemas.openxmlformats.org/drawingml/2006/main">
          <a:off x="82887" y="50800"/>
          <a:ext cx="781181" cy="3075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Raw Data</a:t>
          </a:r>
        </a:p>
      </cdr:txBody>
    </cdr:sp>
  </cdr:relSizeAnchor>
</c:userShapes>
</file>

<file path=xl/drawings/drawing22.xml><?xml version="1.0" encoding="utf-8"?>
<c:userShapes xmlns:c="http://schemas.openxmlformats.org/drawingml/2006/chart">
  <cdr:relSizeAnchor xmlns:cdr="http://schemas.openxmlformats.org/drawingml/2006/chartDrawing">
    <cdr:from>
      <cdr:x>0.03618</cdr:x>
      <cdr:y>0.02024</cdr:y>
    </cdr:from>
    <cdr:to>
      <cdr:x>0.55759</cdr:x>
      <cdr:y>0.07363</cdr:y>
    </cdr:to>
    <cdr:sp macro="" textlink="">
      <cdr:nvSpPr>
        <cdr:cNvPr id="201730" name="Text Box 2"/>
        <cdr:cNvSpPr txBox="1">
          <a:spLocks xmlns:a="http://schemas.openxmlformats.org/drawingml/2006/main" noChangeArrowheads="1"/>
        </cdr:cNvSpPr>
      </cdr:nvSpPr>
      <cdr:spPr bwMode="auto">
        <a:xfrm xmlns:a="http://schemas.openxmlformats.org/drawingml/2006/main">
          <a:off x="89875" y="64335"/>
          <a:ext cx="1295245" cy="1697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drawings/drawing23.xml><?xml version="1.0" encoding="utf-8"?>
<c:userShapes xmlns:c="http://schemas.openxmlformats.org/drawingml/2006/chart">
  <cdr:relSizeAnchor xmlns:cdr="http://schemas.openxmlformats.org/drawingml/2006/chartDrawing">
    <cdr:from>
      <cdr:x>0.03618</cdr:x>
      <cdr:y>0.02024</cdr:y>
    </cdr:from>
    <cdr:to>
      <cdr:x>0.55759</cdr:x>
      <cdr:y>0.06619</cdr:y>
    </cdr:to>
    <cdr:sp macro="" textlink="">
      <cdr:nvSpPr>
        <cdr:cNvPr id="201730" name="Text Box 2"/>
        <cdr:cNvSpPr txBox="1">
          <a:spLocks xmlns:a="http://schemas.openxmlformats.org/drawingml/2006/main" noChangeArrowheads="1"/>
        </cdr:cNvSpPr>
      </cdr:nvSpPr>
      <cdr:spPr bwMode="auto">
        <a:xfrm xmlns:a="http://schemas.openxmlformats.org/drawingml/2006/main">
          <a:off x="89875" y="65746"/>
          <a:ext cx="1295245" cy="149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drawings/drawing24.xml><?xml version="1.0" encoding="utf-8"?>
<c:userShapes xmlns:c="http://schemas.openxmlformats.org/drawingml/2006/chart">
  <cdr:relSizeAnchor xmlns:cdr="http://schemas.openxmlformats.org/drawingml/2006/chartDrawing">
    <cdr:from>
      <cdr:x>0.03618</cdr:x>
      <cdr:y>0.02024</cdr:y>
    </cdr:from>
    <cdr:to>
      <cdr:x>0.55759</cdr:x>
      <cdr:y>0.06455</cdr:y>
    </cdr:to>
    <cdr:sp macro="" textlink="">
      <cdr:nvSpPr>
        <cdr:cNvPr id="201730" name="Text Box 2"/>
        <cdr:cNvSpPr txBox="1">
          <a:spLocks xmlns:a="http://schemas.openxmlformats.org/drawingml/2006/main" noChangeArrowheads="1"/>
        </cdr:cNvSpPr>
      </cdr:nvSpPr>
      <cdr:spPr bwMode="auto">
        <a:xfrm xmlns:a="http://schemas.openxmlformats.org/drawingml/2006/main">
          <a:off x="89875" y="64335"/>
          <a:ext cx="1295245" cy="1408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sz="765" b="0" i="0" strike="noStrike">
              <a:solidFill>
                <a:srgbClr val="000000"/>
              </a:solidFill>
              <a:latin typeface="Arial Narrow"/>
            </a:rPr>
            <a:t>Back-transformed Data</a:t>
          </a:r>
        </a:p>
      </cdr:txBody>
    </cdr:sp>
  </cdr:relSizeAnchor>
</c:userShapes>
</file>

<file path=xl/theme/theme1.xml><?xml version="1.0" encoding="utf-8"?>
<a:theme xmlns:a="http://schemas.openxmlformats.org/drawingml/2006/main" name="Office Theme">
  <a:themeElements>
    <a:clrScheme name="Primaries">
      <a:dk1>
        <a:sysClr val="windowText" lastClr="000000"/>
      </a:dk1>
      <a:lt1>
        <a:sysClr val="window" lastClr="FFFFFF"/>
      </a:lt1>
      <a:dk2>
        <a:srgbClr val="1F497D"/>
      </a:dk2>
      <a:lt2>
        <a:srgbClr val="EEECE1"/>
      </a:lt2>
      <a:accent1>
        <a:srgbClr val="FF0000"/>
      </a:accent1>
      <a:accent2>
        <a:srgbClr val="FFC000"/>
      </a:accent2>
      <a:accent3>
        <a:srgbClr val="FFFF00"/>
      </a:accent3>
      <a:accent4>
        <a:srgbClr val="92D050"/>
      </a:accent4>
      <a:accent5>
        <a:srgbClr val="0070C0"/>
      </a:accent5>
      <a:accent6>
        <a:srgbClr val="7030A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86"/>
  <sheetViews>
    <sheetView tabSelected="1" zoomScaleNormal="100" workbookViewId="0"/>
  </sheetViews>
  <sheetFormatPr defaultRowHeight="12.75" x14ac:dyDescent="0.2"/>
  <cols>
    <col min="1" max="1" width="3.42578125" style="1" customWidth="1"/>
    <col min="2" max="2" width="16.28515625" customWidth="1"/>
    <col min="3" max="3" width="13.28515625" customWidth="1"/>
    <col min="4" max="4" width="7.5703125" customWidth="1"/>
    <col min="5" max="10" width="7.42578125" customWidth="1"/>
    <col min="11" max="11" width="16.85546875" customWidth="1"/>
    <col min="12" max="12" width="12.42578125" customWidth="1"/>
    <col min="13" max="16" width="9.7109375" customWidth="1"/>
    <col min="17" max="17" width="37.140625" style="1" customWidth="1"/>
    <col min="18" max="18" width="5.7109375" style="1" customWidth="1"/>
    <col min="19" max="19" width="17" customWidth="1"/>
    <col min="20" max="20" width="12.7109375" customWidth="1"/>
    <col min="21" max="21" width="7.85546875" customWidth="1"/>
    <col min="22" max="27" width="7.42578125" customWidth="1"/>
    <col min="28" max="28" width="16.5703125" customWidth="1"/>
    <col min="29" max="29" width="13.5703125" customWidth="1"/>
    <col min="30" max="33" width="9.7109375" customWidth="1"/>
    <col min="34" max="34" width="37.140625" style="1" customWidth="1"/>
    <col min="35" max="36" width="9.7109375" style="1" customWidth="1"/>
    <col min="37" max="38" width="9.7109375" customWidth="1"/>
  </cols>
  <sheetData>
    <row r="1" spans="1:39" s="337" customFormat="1" ht="15" x14ac:dyDescent="0.25">
      <c r="A1" s="58"/>
      <c r="B1" s="59" t="s">
        <v>159</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row>
    <row r="2" spans="1:39" s="6" customFormat="1" ht="12" customHeight="1" x14ac:dyDescent="0.2">
      <c r="A2" s="31"/>
      <c r="B2" s="356" t="s">
        <v>228</v>
      </c>
      <c r="C2" s="37"/>
      <c r="D2" s="37"/>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39" s="6" customFormat="1" ht="15" customHeight="1" x14ac:dyDescent="0.2">
      <c r="A3" s="31"/>
      <c r="B3" s="37" t="s">
        <v>247</v>
      </c>
      <c r="C3" s="31"/>
      <c r="D3" s="31"/>
      <c r="E3" s="31"/>
      <c r="F3" s="31"/>
      <c r="G3" s="31"/>
      <c r="H3" s="19"/>
      <c r="I3" s="19"/>
      <c r="J3" s="19"/>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9" s="6" customFormat="1" ht="13.9" customHeight="1" x14ac:dyDescent="0.2">
      <c r="A4" s="31"/>
      <c r="B4" s="357" t="s">
        <v>117</v>
      </c>
      <c r="C4" s="31"/>
      <c r="D4" s="349"/>
      <c r="E4" s="19"/>
      <c r="F4" s="448" t="s">
        <v>278</v>
      </c>
      <c r="G4" s="448">
        <v>2019</v>
      </c>
      <c r="H4" s="115">
        <v>2018</v>
      </c>
      <c r="I4" s="115">
        <v>2017</v>
      </c>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5" spans="1:39" s="6" customFormat="1" ht="12" customHeight="1" x14ac:dyDescent="0.2">
      <c r="A5" s="31"/>
      <c r="B5" s="358" t="s">
        <v>180</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t="s">
        <v>144</v>
      </c>
      <c r="AI5" s="31"/>
      <c r="AJ5" s="31"/>
      <c r="AK5" s="31"/>
      <c r="AL5" s="31"/>
    </row>
    <row r="6" spans="1:39" s="6" customFormat="1" ht="12" customHeight="1" x14ac:dyDescent="0.2">
      <c r="A6" s="31"/>
      <c r="B6" s="38" t="s">
        <v>226</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t="s">
        <v>140</v>
      </c>
      <c r="AI6" s="31"/>
      <c r="AJ6" s="31"/>
      <c r="AK6" s="31"/>
      <c r="AL6" s="31"/>
    </row>
    <row r="7" spans="1:39" s="6" customFormat="1" ht="12" customHeight="1" x14ac:dyDescent="0.2">
      <c r="A7" s="31"/>
      <c r="B7" s="359" t="s">
        <v>146</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t="s">
        <v>141</v>
      </c>
      <c r="AI7" s="31"/>
      <c r="AJ7" s="31"/>
      <c r="AK7" s="31"/>
      <c r="AL7" s="31"/>
    </row>
    <row r="8" spans="1:39" s="6" customFormat="1" ht="12" customHeight="1" x14ac:dyDescent="0.2">
      <c r="A8" s="31"/>
      <c r="B8" s="358" t="s">
        <v>229</v>
      </c>
      <c r="C8" s="18"/>
      <c r="D8" s="18"/>
      <c r="E8" s="18"/>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t="s">
        <v>142</v>
      </c>
      <c r="AI8" s="31"/>
      <c r="AJ8" s="31"/>
      <c r="AK8" s="31"/>
      <c r="AL8" s="31"/>
    </row>
    <row r="9" spans="1:39" s="6" customFormat="1" ht="12" customHeight="1" x14ac:dyDescent="0.2">
      <c r="A9" s="31"/>
      <c r="B9" s="358" t="s">
        <v>209</v>
      </c>
      <c r="C9" s="18"/>
      <c r="D9" s="18"/>
      <c r="E9" s="18"/>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t="s">
        <v>143</v>
      </c>
      <c r="AI9" s="31"/>
      <c r="AJ9" s="31"/>
      <c r="AK9" s="31"/>
      <c r="AL9" s="31"/>
    </row>
    <row r="10" spans="1:39" s="6" customFormat="1" ht="12" customHeight="1" x14ac:dyDescent="0.2">
      <c r="A10" s="31"/>
      <c r="B10" s="359" t="s">
        <v>80</v>
      </c>
      <c r="C10" s="18"/>
      <c r="D10" s="18"/>
      <c r="E10" s="18"/>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39" s="6" customFormat="1" ht="12" customHeight="1" x14ac:dyDescent="0.2">
      <c r="A11" s="31"/>
      <c r="B11" s="358" t="s">
        <v>45</v>
      </c>
      <c r="C11" s="18"/>
      <c r="D11" s="18"/>
      <c r="E11" s="18"/>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9" s="6" customFormat="1" ht="12" customHeight="1" x14ac:dyDescent="0.2">
      <c r="A12" s="31"/>
      <c r="B12" s="359" t="s">
        <v>147</v>
      </c>
      <c r="C12" s="18"/>
      <c r="D12" s="18"/>
      <c r="E12" s="18"/>
      <c r="F12" s="31"/>
      <c r="G12" s="31"/>
      <c r="H12" s="31"/>
      <c r="I12" s="31"/>
      <c r="J12" s="31"/>
      <c r="K12" s="31"/>
      <c r="L12" s="31"/>
      <c r="M12" s="31"/>
      <c r="N12" s="31"/>
      <c r="O12" s="31"/>
      <c r="P12" s="31"/>
      <c r="Q12" s="31"/>
      <c r="R12" s="31"/>
      <c r="S12" s="31"/>
      <c r="T12" s="255"/>
      <c r="U12" s="256"/>
      <c r="V12" s="257" t="s">
        <v>139</v>
      </c>
      <c r="W12" s="248">
        <v>0.06</v>
      </c>
      <c r="X12" s="31"/>
      <c r="Y12" s="31"/>
      <c r="Z12" s="31"/>
      <c r="AA12" s="31"/>
      <c r="AB12" s="31"/>
      <c r="AC12" s="31"/>
      <c r="AD12" s="31"/>
      <c r="AE12" s="31"/>
      <c r="AF12" s="31"/>
      <c r="AG12" s="31"/>
      <c r="AH12" s="31"/>
      <c r="AI12" s="31"/>
      <c r="AJ12" s="31"/>
      <c r="AK12" s="31"/>
      <c r="AL12" s="31"/>
    </row>
    <row r="13" spans="1:39" s="6" customFormat="1" ht="12" customHeight="1" x14ac:dyDescent="0.2">
      <c r="A13" s="31"/>
      <c r="B13" s="359" t="s">
        <v>88</v>
      </c>
      <c r="C13" s="18"/>
      <c r="D13" s="18"/>
      <c r="E13" s="18"/>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row>
    <row r="14" spans="1:39" s="6" customFormat="1" ht="12" customHeight="1" x14ac:dyDescent="0.2">
      <c r="A14" s="31"/>
      <c r="B14" s="359" t="s">
        <v>48</v>
      </c>
      <c r="C14" s="18"/>
      <c r="D14" s="18"/>
      <c r="E14" s="18"/>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51"/>
      <c r="AJ14" s="51"/>
      <c r="AK14" s="51"/>
      <c r="AL14" s="31"/>
    </row>
    <row r="15" spans="1:39" s="6" customFormat="1" ht="12" customHeight="1" x14ac:dyDescent="0.2">
      <c r="A15" s="31"/>
      <c r="B15" s="360" t="s">
        <v>21</v>
      </c>
      <c r="C15" s="18"/>
      <c r="D15" s="18"/>
      <c r="E15" s="18"/>
      <c r="F15" s="31"/>
      <c r="G15" s="31"/>
      <c r="H15" s="31"/>
      <c r="I15" s="31"/>
      <c r="J15" s="31"/>
      <c r="K15" s="31"/>
      <c r="L15" s="31"/>
      <c r="M15" s="31"/>
      <c r="N15" s="31"/>
      <c r="O15" s="31"/>
      <c r="P15" s="31"/>
      <c r="Q15" s="31"/>
      <c r="R15" s="31"/>
      <c r="S15" s="31"/>
      <c r="T15" s="31"/>
      <c r="U15" s="31"/>
      <c r="V15" s="17" t="s">
        <v>89</v>
      </c>
      <c r="W15" s="39" t="str">
        <f>F51</f>
        <v>Pre1</v>
      </c>
      <c r="X15" s="39" t="str">
        <f>G51</f>
        <v>Pre2</v>
      </c>
      <c r="Y15" s="39" t="str">
        <f>H51</f>
        <v>Post1</v>
      </c>
      <c r="Z15" s="39" t="str">
        <f>I51</f>
        <v>Post2</v>
      </c>
      <c r="AA15" s="39" t="str">
        <f>J51</f>
        <v>Post3</v>
      </c>
      <c r="AB15" s="31"/>
      <c r="AC15" s="31"/>
      <c r="AD15" s="31"/>
      <c r="AE15" s="31"/>
      <c r="AF15" s="31"/>
      <c r="AG15" s="31"/>
      <c r="AH15" s="31"/>
      <c r="AI15" s="51"/>
      <c r="AJ15" s="51"/>
      <c r="AK15" s="51"/>
      <c r="AL15" s="31"/>
    </row>
    <row r="16" spans="1:39" s="6" customFormat="1" ht="12" customHeight="1" x14ac:dyDescent="0.2">
      <c r="A16" s="31"/>
      <c r="B16" s="361" t="s">
        <v>204</v>
      </c>
      <c r="C16" s="18"/>
      <c r="D16" s="18"/>
      <c r="E16" s="18"/>
      <c r="F16" s="31"/>
      <c r="G16" s="31"/>
      <c r="H16" s="31"/>
      <c r="I16" s="31"/>
      <c r="J16" s="31"/>
      <c r="K16" s="31"/>
      <c r="L16" s="31"/>
      <c r="M16" s="31"/>
      <c r="N16" s="31"/>
      <c r="O16" s="31"/>
      <c r="P16" s="31"/>
      <c r="Q16" s="31"/>
      <c r="R16" s="31"/>
      <c r="S16" s="31"/>
      <c r="T16" s="31"/>
      <c r="U16" s="31"/>
      <c r="V16" s="31" t="str">
        <f>B52</f>
        <v>Control</v>
      </c>
      <c r="W16" s="31"/>
      <c r="X16" s="31"/>
      <c r="Y16" s="31"/>
      <c r="Z16" s="31"/>
      <c r="AA16" s="31"/>
      <c r="AB16" s="31"/>
      <c r="AC16" s="31"/>
      <c r="AD16" s="31"/>
      <c r="AE16" s="31"/>
      <c r="AF16" s="31"/>
      <c r="AG16" s="31"/>
      <c r="AH16" s="31"/>
      <c r="AI16" s="51"/>
      <c r="AJ16" s="51"/>
      <c r="AK16" s="51"/>
      <c r="AL16" s="31"/>
    </row>
    <row r="17" spans="1:38" s="6" customFormat="1" ht="12" customHeight="1" x14ac:dyDescent="0.2">
      <c r="A17" s="31"/>
      <c r="B17" s="362" t="s">
        <v>135</v>
      </c>
      <c r="C17" s="18"/>
      <c r="D17" s="18"/>
      <c r="E17" s="18"/>
      <c r="F17" s="31"/>
      <c r="G17" s="31"/>
      <c r="H17" s="31"/>
      <c r="I17" s="31"/>
      <c r="J17" s="31"/>
      <c r="K17" s="31"/>
      <c r="L17" s="31"/>
      <c r="M17" s="31"/>
      <c r="N17" s="31"/>
      <c r="O17" s="31"/>
      <c r="P17" s="31"/>
      <c r="Q17" s="31"/>
      <c r="R17" s="31"/>
      <c r="S17" s="31"/>
      <c r="T17" s="31"/>
      <c r="U17" s="31"/>
      <c r="V17" s="17" t="s">
        <v>145</v>
      </c>
      <c r="W17" s="40">
        <f>F49-$W$12</f>
        <v>0.94</v>
      </c>
      <c r="X17" s="40">
        <f>G49-$W$12</f>
        <v>1.94</v>
      </c>
      <c r="Y17" s="40">
        <f>H49-$W$12</f>
        <v>2.94</v>
      </c>
      <c r="Z17" s="40">
        <f>I49-$W$12</f>
        <v>3.94</v>
      </c>
      <c r="AA17" s="40">
        <f>J49-$W$12</f>
        <v>4.9400000000000004</v>
      </c>
      <c r="AB17" s="31"/>
      <c r="AC17" s="31"/>
      <c r="AD17" s="31"/>
      <c r="AE17" s="31"/>
      <c r="AF17" s="31"/>
      <c r="AG17" s="31"/>
      <c r="AH17" s="31"/>
      <c r="AI17" s="31"/>
      <c r="AJ17" s="31"/>
      <c r="AK17" s="31"/>
      <c r="AL17" s="31"/>
    </row>
    <row r="18" spans="1:38" s="6" customFormat="1" ht="12" customHeight="1" x14ac:dyDescent="0.2">
      <c r="A18" s="31"/>
      <c r="B18" s="361" t="s">
        <v>222</v>
      </c>
      <c r="C18" s="18"/>
      <c r="D18" s="18"/>
      <c r="E18" s="18"/>
      <c r="F18" s="31"/>
      <c r="G18" s="31"/>
      <c r="H18" s="31"/>
      <c r="I18" s="31"/>
      <c r="J18" s="31"/>
      <c r="K18" s="31"/>
      <c r="L18" s="31"/>
      <c r="M18" s="31"/>
      <c r="N18" s="31"/>
      <c r="O18" s="31"/>
      <c r="P18" s="31"/>
      <c r="Q18" s="31"/>
      <c r="R18" s="31"/>
      <c r="S18" s="31"/>
      <c r="T18" s="31"/>
      <c r="U18" s="31"/>
      <c r="V18" s="24" t="s">
        <v>90</v>
      </c>
      <c r="W18" s="42">
        <f t="shared" ref="W18:AA19" si="0">F72</f>
        <v>399.995</v>
      </c>
      <c r="X18" s="42">
        <f t="shared" si="0"/>
        <v>403.46499999999997</v>
      </c>
      <c r="Y18" s="42">
        <f t="shared" si="0"/>
        <v>404.14</v>
      </c>
      <c r="Z18" s="42">
        <f t="shared" si="0"/>
        <v>401.60500000000002</v>
      </c>
      <c r="AA18" s="42">
        <f t="shared" si="0"/>
        <v>402.48500000000001</v>
      </c>
      <c r="AB18" s="31"/>
      <c r="AC18" s="31"/>
      <c r="AD18" s="31"/>
      <c r="AE18" s="31"/>
      <c r="AF18" s="31"/>
      <c r="AG18" s="31"/>
      <c r="AH18" s="31"/>
      <c r="AI18" s="31"/>
      <c r="AJ18" s="31"/>
      <c r="AK18" s="31"/>
      <c r="AL18" s="31"/>
    </row>
    <row r="19" spans="1:38" s="6" customFormat="1" ht="12" customHeight="1" x14ac:dyDescent="0.2">
      <c r="A19" s="31"/>
      <c r="B19" s="363" t="s">
        <v>206</v>
      </c>
      <c r="C19" s="18"/>
      <c r="D19" s="18"/>
      <c r="E19" s="18"/>
      <c r="F19" s="31"/>
      <c r="G19" s="31"/>
      <c r="H19" s="31"/>
      <c r="I19" s="31"/>
      <c r="J19" s="31"/>
      <c r="K19" s="31"/>
      <c r="L19" s="31"/>
      <c r="M19" s="31"/>
      <c r="N19" s="31"/>
      <c r="O19" s="31"/>
      <c r="P19" s="31"/>
      <c r="Q19" s="31"/>
      <c r="R19" s="31" t="s">
        <v>153</v>
      </c>
      <c r="S19" s="31"/>
      <c r="T19" s="31"/>
      <c r="U19" s="31"/>
      <c r="V19" s="17" t="s">
        <v>91</v>
      </c>
      <c r="W19" s="43">
        <f t="shared" si="0"/>
        <v>9.9679209150364478</v>
      </c>
      <c r="X19" s="43">
        <f t="shared" si="0"/>
        <v>9.3488121958719628</v>
      </c>
      <c r="Y19" s="43">
        <f t="shared" si="0"/>
        <v>10.084297329590154</v>
      </c>
      <c r="Z19" s="43">
        <f t="shared" si="0"/>
        <v>8.2637110944557737</v>
      </c>
      <c r="AA19" s="43">
        <f t="shared" si="0"/>
        <v>10.809658205804471</v>
      </c>
      <c r="AB19" s="31"/>
      <c r="AC19" s="31"/>
      <c r="AD19" s="31"/>
      <c r="AE19" s="31"/>
      <c r="AF19" s="31"/>
      <c r="AG19" s="31"/>
      <c r="AH19" s="31"/>
      <c r="AI19" s="31"/>
      <c r="AJ19" s="31"/>
      <c r="AK19" s="31"/>
      <c r="AL19" s="31"/>
    </row>
    <row r="20" spans="1:38" s="6" customFormat="1" ht="12" customHeight="1" x14ac:dyDescent="0.2">
      <c r="A20" s="31"/>
      <c r="B20" s="357" t="s">
        <v>81</v>
      </c>
      <c r="C20" s="18"/>
      <c r="D20" s="18"/>
      <c r="E20" s="18"/>
      <c r="F20" s="31"/>
      <c r="G20" s="31"/>
      <c r="H20" s="31"/>
      <c r="I20" s="31"/>
      <c r="J20" s="31"/>
      <c r="K20" s="31"/>
      <c r="L20" s="31"/>
      <c r="M20" s="31"/>
      <c r="N20" s="31"/>
      <c r="O20" s="31"/>
      <c r="P20" s="31"/>
      <c r="Q20" s="31"/>
      <c r="R20" s="38" t="s">
        <v>202</v>
      </c>
      <c r="S20" s="31"/>
      <c r="T20" s="31"/>
      <c r="U20" s="31"/>
      <c r="V20" s="17" t="s">
        <v>92</v>
      </c>
      <c r="W20" s="43">
        <f>F73</f>
        <v>9.9679209150364478</v>
      </c>
      <c r="X20" s="43">
        <f>G73</f>
        <v>9.3488121958719628</v>
      </c>
      <c r="Y20" s="43">
        <f>H73</f>
        <v>10.084297329590154</v>
      </c>
      <c r="Z20" s="43">
        <f>I73</f>
        <v>8.2637110944557737</v>
      </c>
      <c r="AA20" s="43">
        <f>J73</f>
        <v>10.809658205804471</v>
      </c>
      <c r="AB20" s="31"/>
      <c r="AC20" s="31"/>
      <c r="AD20" s="31"/>
      <c r="AE20" s="31"/>
      <c r="AF20" s="31"/>
      <c r="AG20" s="31"/>
      <c r="AH20" s="31"/>
      <c r="AI20" s="31"/>
      <c r="AJ20" s="31"/>
      <c r="AK20" s="31"/>
      <c r="AL20" s="31"/>
    </row>
    <row r="21" spans="1:38" s="6" customFormat="1" ht="12" customHeight="1" x14ac:dyDescent="0.2">
      <c r="A21" s="31"/>
      <c r="B21" s="358" t="s">
        <v>223</v>
      </c>
      <c r="C21" s="31"/>
      <c r="D21" s="31"/>
      <c r="E21" s="31"/>
      <c r="F21" s="31"/>
      <c r="G21" s="31"/>
      <c r="H21" s="31"/>
      <c r="I21" s="31"/>
      <c r="J21" s="31"/>
      <c r="K21" s="31"/>
      <c r="L21" s="31"/>
      <c r="M21" s="31"/>
      <c r="N21" s="31"/>
      <c r="O21" s="31"/>
      <c r="P21" s="31"/>
      <c r="Q21" s="31"/>
      <c r="R21" s="31" t="s">
        <v>155</v>
      </c>
      <c r="S21" s="31"/>
      <c r="T21" s="31"/>
      <c r="U21" s="31"/>
      <c r="V21" s="31" t="str">
        <f>B85</f>
        <v>Exptal</v>
      </c>
      <c r="W21" s="31"/>
      <c r="X21" s="31"/>
      <c r="Y21" s="31"/>
      <c r="Z21" s="31"/>
      <c r="AA21" s="31"/>
      <c r="AB21" s="31"/>
      <c r="AC21" s="31"/>
      <c r="AD21" s="31"/>
      <c r="AE21" s="31"/>
      <c r="AF21" s="31"/>
      <c r="AG21" s="31"/>
      <c r="AH21" s="31"/>
      <c r="AI21" s="31"/>
      <c r="AJ21" s="31"/>
      <c r="AK21" s="31"/>
      <c r="AL21" s="31"/>
    </row>
    <row r="22" spans="1:38" s="6" customFormat="1" ht="12" customHeight="1" x14ac:dyDescent="0.2">
      <c r="A22" s="31"/>
      <c r="B22" s="358" t="s">
        <v>181</v>
      </c>
      <c r="C22" s="18"/>
      <c r="D22" s="18"/>
      <c r="E22" s="18"/>
      <c r="F22" s="31"/>
      <c r="G22" s="31"/>
      <c r="H22" s="31"/>
      <c r="I22" s="31"/>
      <c r="J22" s="31"/>
      <c r="K22" s="31"/>
      <c r="L22" s="31"/>
      <c r="M22" s="31"/>
      <c r="N22" s="31"/>
      <c r="O22" s="31"/>
      <c r="P22" s="31"/>
      <c r="Q22" s="31"/>
      <c r="R22" s="31" t="s">
        <v>149</v>
      </c>
      <c r="S22" s="31"/>
      <c r="T22" s="31"/>
      <c r="U22" s="31"/>
      <c r="V22" s="17" t="s">
        <v>145</v>
      </c>
      <c r="W22" s="40">
        <f>F49+$W$12</f>
        <v>1.06</v>
      </c>
      <c r="X22" s="40">
        <f>G49+$W$12</f>
        <v>2.06</v>
      </c>
      <c r="Y22" s="40">
        <f>H49+$W$12</f>
        <v>3.06</v>
      </c>
      <c r="Z22" s="40">
        <f>I49+$W$12</f>
        <v>4.0599999999999996</v>
      </c>
      <c r="AA22" s="40">
        <f>J49+$W$12</f>
        <v>5.0599999999999996</v>
      </c>
      <c r="AB22" s="31"/>
      <c r="AC22" s="31"/>
      <c r="AD22" s="31"/>
      <c r="AE22" s="31"/>
      <c r="AF22" s="31"/>
      <c r="AG22" s="31"/>
      <c r="AH22" s="31"/>
      <c r="AI22" s="31"/>
      <c r="AJ22" s="31"/>
      <c r="AK22" s="31"/>
      <c r="AL22" s="31"/>
    </row>
    <row r="23" spans="1:38" s="6" customFormat="1" ht="12" customHeight="1" x14ac:dyDescent="0.2">
      <c r="A23" s="31"/>
      <c r="B23" s="358" t="s">
        <v>225</v>
      </c>
      <c r="C23" s="18"/>
      <c r="D23" s="18"/>
      <c r="E23" s="18"/>
      <c r="F23" s="31"/>
      <c r="G23" s="31"/>
      <c r="H23" s="31"/>
      <c r="I23" s="31"/>
      <c r="J23" s="31"/>
      <c r="K23" s="31"/>
      <c r="L23" s="31"/>
      <c r="M23" s="31"/>
      <c r="N23" s="31"/>
      <c r="O23" s="31"/>
      <c r="P23" s="31"/>
      <c r="Q23" s="31"/>
      <c r="R23" s="31" t="s">
        <v>150</v>
      </c>
      <c r="S23" s="31"/>
      <c r="T23" s="31"/>
      <c r="U23" s="31"/>
      <c r="V23" s="24" t="s">
        <v>90</v>
      </c>
      <c r="W23" s="44">
        <f t="shared" ref="W23:AA24" si="1">F105</f>
        <v>400.27999999999992</v>
      </c>
      <c r="X23" s="44">
        <f t="shared" si="1"/>
        <v>398.1</v>
      </c>
      <c r="Y23" s="44">
        <f t="shared" si="1"/>
        <v>408.97999999999996</v>
      </c>
      <c r="Z23" s="44">
        <f t="shared" si="1"/>
        <v>403.34499999999997</v>
      </c>
      <c r="AA23" s="44">
        <f t="shared" si="1"/>
        <v>403.98500000000001</v>
      </c>
      <c r="AB23" s="31"/>
      <c r="AC23" s="31"/>
      <c r="AD23" s="31"/>
      <c r="AE23" s="31"/>
      <c r="AF23" s="31"/>
      <c r="AG23" s="31"/>
      <c r="AH23" s="31"/>
      <c r="AI23" s="31"/>
      <c r="AJ23" s="31"/>
      <c r="AK23" s="31"/>
      <c r="AL23" s="31"/>
    </row>
    <row r="24" spans="1:38" ht="12" customHeight="1" x14ac:dyDescent="0.2">
      <c r="A24" s="18"/>
      <c r="B24" s="358" t="s">
        <v>224</v>
      </c>
      <c r="C24" s="18"/>
      <c r="D24" s="18"/>
      <c r="E24" s="18"/>
      <c r="F24" s="31"/>
      <c r="G24" s="31"/>
      <c r="H24" s="31"/>
      <c r="I24" s="31"/>
      <c r="J24" s="31"/>
      <c r="K24" s="18"/>
      <c r="L24" s="18"/>
      <c r="M24" s="18"/>
      <c r="N24" s="18"/>
      <c r="O24" s="18"/>
      <c r="P24" s="18"/>
      <c r="Q24" s="18"/>
      <c r="R24" s="31" t="s">
        <v>151</v>
      </c>
      <c r="S24" s="18"/>
      <c r="T24" s="18"/>
      <c r="U24" s="18"/>
      <c r="V24" s="17" t="s">
        <v>91</v>
      </c>
      <c r="W24" s="44">
        <f t="shared" si="1"/>
        <v>12.699838374437769</v>
      </c>
      <c r="X24" s="44">
        <f t="shared" si="1"/>
        <v>8.5756693769733108</v>
      </c>
      <c r="Y24" s="44">
        <f t="shared" si="1"/>
        <v>12.905347728751828</v>
      </c>
      <c r="Z24" s="44">
        <f t="shared" si="1"/>
        <v>11.08790118244111</v>
      </c>
      <c r="AA24" s="44">
        <f t="shared" si="1"/>
        <v>9.724265633211747</v>
      </c>
      <c r="AB24" s="18"/>
      <c r="AC24" s="18"/>
      <c r="AD24" s="18"/>
      <c r="AE24" s="18"/>
      <c r="AF24" s="18"/>
      <c r="AG24" s="18"/>
      <c r="AH24" s="18"/>
      <c r="AI24" s="18"/>
      <c r="AJ24" s="18"/>
      <c r="AK24" s="18"/>
      <c r="AL24" s="18"/>
    </row>
    <row r="25" spans="1:38" s="6" customFormat="1" ht="12" customHeight="1" x14ac:dyDescent="0.2">
      <c r="A25" s="31"/>
      <c r="B25" s="359" t="s">
        <v>148</v>
      </c>
      <c r="C25" s="18"/>
      <c r="D25" s="18"/>
      <c r="E25" s="18"/>
      <c r="F25" s="18"/>
      <c r="G25" s="18"/>
      <c r="H25" s="18"/>
      <c r="I25" s="18"/>
      <c r="J25" s="18"/>
      <c r="K25" s="31"/>
      <c r="L25" s="31"/>
      <c r="M25" s="31"/>
      <c r="N25" s="31"/>
      <c r="O25" s="31"/>
      <c r="P25" s="31"/>
      <c r="Q25" s="31"/>
      <c r="R25" s="31" t="s">
        <v>152</v>
      </c>
      <c r="S25" s="31"/>
      <c r="T25" s="31"/>
      <c r="U25" s="31"/>
      <c r="V25" s="17" t="s">
        <v>92</v>
      </c>
      <c r="W25" s="44">
        <f>F106</f>
        <v>12.699838374437769</v>
      </c>
      <c r="X25" s="44">
        <f>G106</f>
        <v>8.5756693769733108</v>
      </c>
      <c r="Y25" s="44">
        <f>H106</f>
        <v>12.905347728751828</v>
      </c>
      <c r="Z25" s="44">
        <f>I106</f>
        <v>11.08790118244111</v>
      </c>
      <c r="AA25" s="44">
        <f>J106</f>
        <v>9.724265633211747</v>
      </c>
      <c r="AB25" s="31"/>
      <c r="AC25" s="31"/>
      <c r="AD25" s="31"/>
      <c r="AE25" s="31"/>
      <c r="AF25" s="31"/>
      <c r="AG25" s="31"/>
      <c r="AH25" s="31"/>
      <c r="AI25" s="31"/>
      <c r="AJ25" s="31"/>
      <c r="AK25" s="31"/>
      <c r="AL25" s="31"/>
    </row>
    <row r="26" spans="1:38" s="6" customFormat="1" ht="12.95" customHeight="1" x14ac:dyDescent="0.2">
      <c r="A26" s="31"/>
      <c r="B26" s="358" t="s">
        <v>217</v>
      </c>
      <c r="C26" s="18"/>
      <c r="D26" s="18"/>
      <c r="E26" s="18"/>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row>
    <row r="27" spans="1:38" s="6" customFormat="1" ht="12.95" customHeight="1" x14ac:dyDescent="0.25">
      <c r="A27" s="31"/>
      <c r="B27" s="358" t="s">
        <v>208</v>
      </c>
      <c r="C27" s="45"/>
      <c r="D27" s="45"/>
      <c r="E27" s="46"/>
      <c r="F27" s="21"/>
      <c r="G27" s="32"/>
      <c r="H27" s="32"/>
      <c r="I27" s="32"/>
      <c r="J27" s="32"/>
      <c r="K27" s="33"/>
      <c r="L27" s="18"/>
      <c r="M27" s="18"/>
      <c r="N27" s="18"/>
      <c r="O27" s="18"/>
      <c r="P27" s="18"/>
      <c r="Q27" s="31"/>
      <c r="R27" s="31"/>
      <c r="S27" s="31"/>
      <c r="T27" s="31"/>
      <c r="U27" s="31"/>
      <c r="V27" s="31"/>
      <c r="W27" s="31"/>
      <c r="X27" s="31"/>
      <c r="Y27" s="31"/>
      <c r="Z27" s="31"/>
      <c r="AA27" s="31"/>
      <c r="AB27" s="31"/>
      <c r="AC27" s="31"/>
      <c r="AD27" s="31"/>
      <c r="AE27" s="31"/>
      <c r="AF27" s="31"/>
      <c r="AG27" s="31"/>
      <c r="AH27" s="31"/>
      <c r="AI27" s="31"/>
      <c r="AJ27" s="31"/>
      <c r="AK27" s="31"/>
      <c r="AL27" s="31"/>
    </row>
    <row r="28" spans="1:38" s="6" customFormat="1" ht="12" customHeight="1" x14ac:dyDescent="0.2">
      <c r="A28" s="31"/>
      <c r="B28" s="364" t="s">
        <v>201</v>
      </c>
      <c r="C28" s="18"/>
      <c r="D28" s="18"/>
      <c r="E28" s="18"/>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row>
    <row r="29" spans="1:38" s="6" customFormat="1" ht="12" customHeight="1" x14ac:dyDescent="0.2">
      <c r="A29" s="31"/>
      <c r="B29" s="358" t="s">
        <v>200</v>
      </c>
      <c r="C29" s="48"/>
      <c r="D29" s="48"/>
      <c r="E29" s="48"/>
      <c r="F29" s="31"/>
      <c r="G29" s="31"/>
      <c r="H29" s="31"/>
      <c r="I29" s="31"/>
      <c r="J29" s="31"/>
      <c r="K29" s="31"/>
      <c r="L29" s="31"/>
      <c r="M29" s="31"/>
      <c r="N29" s="31"/>
      <c r="O29" s="31"/>
      <c r="P29" s="31"/>
      <c r="Q29" s="31"/>
      <c r="R29" s="31"/>
      <c r="S29" s="31"/>
      <c r="T29" s="31"/>
      <c r="U29" s="31"/>
      <c r="V29" s="17" t="s">
        <v>89</v>
      </c>
      <c r="W29" s="39" t="str">
        <f t="shared" ref="W29:AA29" si="2">W51</f>
        <v>Pre1</v>
      </c>
      <c r="X29" s="39" t="str">
        <f t="shared" si="2"/>
        <v>Pre2</v>
      </c>
      <c r="Y29" s="39" t="str">
        <f t="shared" si="2"/>
        <v>Post1</v>
      </c>
      <c r="Z29" s="39" t="str">
        <f t="shared" si="2"/>
        <v>Post2</v>
      </c>
      <c r="AA29" s="39" t="str">
        <f t="shared" si="2"/>
        <v>Post3</v>
      </c>
      <c r="AB29" s="31"/>
      <c r="AC29" s="31"/>
      <c r="AD29" s="31"/>
      <c r="AE29" s="31"/>
      <c r="AF29" s="31"/>
      <c r="AG29" s="31"/>
      <c r="AH29" s="31"/>
      <c r="AI29" s="31"/>
      <c r="AJ29" s="31"/>
      <c r="AK29" s="31"/>
      <c r="AL29" s="31"/>
    </row>
    <row r="30" spans="1:38" ht="13.9" customHeight="1" x14ac:dyDescent="0.2">
      <c r="A30" s="18"/>
      <c r="B30" s="47" t="s">
        <v>242</v>
      </c>
      <c r="C30" s="18"/>
      <c r="D30" s="18"/>
      <c r="E30" s="47"/>
      <c r="F30" s="48"/>
      <c r="G30" s="47"/>
      <c r="H30" s="48"/>
      <c r="I30" s="48"/>
      <c r="J30" s="48"/>
      <c r="K30" s="31"/>
      <c r="L30" s="31"/>
      <c r="M30" s="31"/>
      <c r="N30" s="31"/>
      <c r="O30" s="31"/>
      <c r="P30" s="31"/>
      <c r="Q30" s="18"/>
      <c r="R30" s="18"/>
      <c r="S30" s="18"/>
      <c r="T30" s="18"/>
      <c r="U30" s="18"/>
      <c r="V30" s="31" t="str">
        <f>S52</f>
        <v>Control</v>
      </c>
      <c r="W30" s="31"/>
      <c r="X30" s="31"/>
      <c r="Y30" s="31"/>
      <c r="Z30" s="31"/>
      <c r="AA30" s="31"/>
      <c r="AB30" s="18"/>
      <c r="AC30" s="18"/>
      <c r="AD30" s="18"/>
      <c r="AE30" s="18"/>
      <c r="AF30" s="18"/>
      <c r="AG30" s="18"/>
      <c r="AH30" s="18"/>
      <c r="AI30" s="18"/>
      <c r="AJ30" s="18"/>
      <c r="AK30" s="18"/>
      <c r="AL30" s="18"/>
    </row>
    <row r="31" spans="1:38" ht="12.6" customHeight="1" x14ac:dyDescent="0.2">
      <c r="A31" s="18"/>
      <c r="B31" s="252" t="s">
        <v>179</v>
      </c>
      <c r="C31" s="253"/>
      <c r="D31" s="253"/>
      <c r="E31" s="253"/>
      <c r="F31" s="254"/>
      <c r="G31" s="254"/>
      <c r="H31" s="254"/>
      <c r="I31" s="325"/>
      <c r="J31" s="353"/>
      <c r="K31" s="325"/>
      <c r="L31" s="325"/>
      <c r="M31" s="325"/>
      <c r="N31" s="325"/>
      <c r="O31" s="31"/>
      <c r="P31" s="31"/>
      <c r="Q31" s="18"/>
      <c r="R31" s="18"/>
      <c r="S31" s="18"/>
      <c r="T31" s="18"/>
      <c r="U31" s="18"/>
      <c r="V31" s="17" t="s">
        <v>145</v>
      </c>
      <c r="W31" s="40">
        <f t="shared" ref="W31:AA31" si="3">W49-$W$12</f>
        <v>0.94</v>
      </c>
      <c r="X31" s="40">
        <f t="shared" si="3"/>
        <v>1.94</v>
      </c>
      <c r="Y31" s="40">
        <f t="shared" si="3"/>
        <v>2.94</v>
      </c>
      <c r="Z31" s="40">
        <f t="shared" si="3"/>
        <v>3.94</v>
      </c>
      <c r="AA31" s="40">
        <f t="shared" si="3"/>
        <v>4.9400000000000004</v>
      </c>
      <c r="AB31" s="18"/>
      <c r="AC31" s="18"/>
      <c r="AD31" s="18"/>
      <c r="AE31" s="18"/>
      <c r="AF31" s="18"/>
      <c r="AG31" s="18"/>
      <c r="AH31" s="18"/>
      <c r="AI31" s="18"/>
      <c r="AJ31" s="18"/>
      <c r="AK31" s="18"/>
      <c r="AL31" s="18"/>
    </row>
    <row r="32" spans="1:38" ht="12.95" customHeight="1" x14ac:dyDescent="0.2">
      <c r="A32" s="18"/>
      <c r="B32" s="38" t="s">
        <v>243</v>
      </c>
      <c r="C32" s="18"/>
      <c r="D32" s="18"/>
      <c r="E32" s="18"/>
      <c r="F32" s="18"/>
      <c r="G32" s="18"/>
      <c r="H32" s="18"/>
      <c r="I32" s="18"/>
      <c r="J32" s="18"/>
      <c r="K32" s="18"/>
      <c r="L32" s="18"/>
      <c r="M32" s="18"/>
      <c r="N32" s="18"/>
      <c r="O32" s="18"/>
      <c r="P32" s="18"/>
      <c r="Q32" s="18"/>
      <c r="R32" s="18"/>
      <c r="S32" s="18"/>
      <c r="T32" s="18"/>
      <c r="U32" s="18"/>
      <c r="V32" s="24" t="s">
        <v>90</v>
      </c>
      <c r="W32" s="49">
        <f t="shared" ref="W32:AA32" si="4">W77</f>
        <v>399.87754819479977</v>
      </c>
      <c r="X32" s="49">
        <f t="shared" si="4"/>
        <v>403.36291244726436</v>
      </c>
      <c r="Y32" s="49">
        <f t="shared" si="4"/>
        <v>404.01904098860393</v>
      </c>
      <c r="Z32" s="49">
        <f t="shared" si="4"/>
        <v>401.52418102648198</v>
      </c>
      <c r="AA32" s="49">
        <f t="shared" si="4"/>
        <v>402.34728070747678</v>
      </c>
      <c r="AB32" s="18"/>
      <c r="AC32" s="18"/>
      <c r="AD32" s="18"/>
      <c r="AE32" s="18"/>
      <c r="AF32" s="18"/>
      <c r="AG32" s="18"/>
      <c r="AH32" s="18"/>
      <c r="AI32" s="18"/>
      <c r="AJ32" s="18"/>
      <c r="AK32" s="18"/>
      <c r="AL32" s="18"/>
    </row>
    <row r="33" spans="1:38" ht="12.95" customHeight="1" x14ac:dyDescent="0.2">
      <c r="A33" s="18"/>
      <c r="B33" s="41"/>
      <c r="C33" s="18"/>
      <c r="D33" s="18"/>
      <c r="E33" s="18"/>
      <c r="F33" s="18"/>
      <c r="G33" s="18"/>
      <c r="H33" s="18"/>
      <c r="I33" s="18"/>
      <c r="J33" s="18"/>
      <c r="K33" s="18"/>
      <c r="L33" s="18"/>
      <c r="M33" s="18"/>
      <c r="N33" s="18"/>
      <c r="O33" s="18"/>
      <c r="P33" s="18"/>
      <c r="Q33" s="18"/>
      <c r="R33" s="18"/>
      <c r="S33" s="18"/>
      <c r="T33" s="18"/>
      <c r="U33" s="18"/>
      <c r="V33" s="17" t="s">
        <v>91</v>
      </c>
      <c r="W33" s="50">
        <f t="shared" ref="W33:AA33" si="5">W32*W79-W32</f>
        <v>10.056682227583337</v>
      </c>
      <c r="X33" s="50">
        <f t="shared" si="5"/>
        <v>9.4002551719858616</v>
      </c>
      <c r="Y33" s="50">
        <f t="shared" si="5"/>
        <v>10.302977393987135</v>
      </c>
      <c r="Z33" s="50">
        <f t="shared" si="5"/>
        <v>8.3523486689255151</v>
      </c>
      <c r="AA33" s="50">
        <f t="shared" si="5"/>
        <v>10.944027006334863</v>
      </c>
      <c r="AB33" s="18"/>
      <c r="AC33" s="18"/>
      <c r="AD33" s="18"/>
      <c r="AE33" s="18"/>
      <c r="AF33" s="18"/>
      <c r="AG33" s="18"/>
      <c r="AH33" s="18"/>
      <c r="AI33" s="18"/>
      <c r="AJ33" s="18"/>
      <c r="AK33" s="18"/>
      <c r="AL33" s="18"/>
    </row>
    <row r="34" spans="1:38" ht="12.95" customHeight="1" x14ac:dyDescent="0.2">
      <c r="A34" s="18"/>
      <c r="B34" s="656" t="s">
        <v>280</v>
      </c>
      <c r="C34" s="657"/>
      <c r="D34" s="61" t="s">
        <v>110</v>
      </c>
      <c r="E34" s="62"/>
      <c r="F34" s="74"/>
      <c r="G34" s="74"/>
      <c r="H34" s="63"/>
      <c r="I34" s="18"/>
      <c r="J34" s="18"/>
      <c r="K34" s="60"/>
      <c r="L34" s="64" t="s">
        <v>116</v>
      </c>
      <c r="M34" s="258" t="s">
        <v>110</v>
      </c>
      <c r="N34" s="74"/>
      <c r="O34" s="63"/>
      <c r="P34" s="18"/>
      <c r="Q34" s="18"/>
      <c r="R34" s="18"/>
      <c r="S34" s="18"/>
      <c r="T34" s="18"/>
      <c r="U34" s="18"/>
      <c r="V34" s="17" t="s">
        <v>92</v>
      </c>
      <c r="W34" s="65">
        <f t="shared" ref="W34:AA34" si="6">W32-W32/W79</f>
        <v>9.8099673891508701</v>
      </c>
      <c r="X34" s="65">
        <f t="shared" si="6"/>
        <v>9.1861740614833707</v>
      </c>
      <c r="Y34" s="65">
        <f t="shared" si="6"/>
        <v>10.046772465281208</v>
      </c>
      <c r="Z34" s="65">
        <f t="shared" si="6"/>
        <v>8.1821468563476287</v>
      </c>
      <c r="AA34" s="65">
        <f t="shared" si="6"/>
        <v>10.654227233438746</v>
      </c>
      <c r="AB34" s="18"/>
      <c r="AC34" s="18"/>
      <c r="AD34" s="18"/>
      <c r="AE34" s="18"/>
      <c r="AF34" s="18"/>
      <c r="AG34" s="18"/>
      <c r="AH34" s="18"/>
      <c r="AI34" s="51"/>
      <c r="AJ34" s="34"/>
      <c r="AK34" s="34"/>
      <c r="AL34" s="18"/>
    </row>
    <row r="35" spans="1:38" ht="12.95" customHeight="1" x14ac:dyDescent="0.2">
      <c r="A35" s="18"/>
      <c r="B35" s="658"/>
      <c r="C35" s="659"/>
      <c r="D35" s="543" t="s">
        <v>111</v>
      </c>
      <c r="E35" s="67"/>
      <c r="F35" s="142"/>
      <c r="G35" s="142"/>
      <c r="H35" s="68"/>
      <c r="I35" s="18"/>
      <c r="J35" s="18"/>
      <c r="K35" s="66"/>
      <c r="L35" s="69" t="s">
        <v>114</v>
      </c>
      <c r="M35" s="259" t="s">
        <v>115</v>
      </c>
      <c r="N35" s="142"/>
      <c r="O35" s="68"/>
      <c r="P35" s="18"/>
      <c r="Q35" s="18"/>
      <c r="R35" s="18"/>
      <c r="S35" s="18"/>
      <c r="T35" s="18"/>
      <c r="U35" s="18"/>
      <c r="V35" s="24" t="str">
        <f>S85</f>
        <v>Exptal</v>
      </c>
      <c r="W35" s="70"/>
      <c r="X35" s="70"/>
      <c r="Y35" s="70"/>
      <c r="Z35" s="70"/>
      <c r="AA35" s="70"/>
      <c r="AB35" s="18"/>
      <c r="AC35" s="18"/>
      <c r="AD35" s="18"/>
      <c r="AE35" s="18"/>
      <c r="AF35" s="18"/>
      <c r="AG35" s="18"/>
      <c r="AH35" s="18"/>
      <c r="AI35" s="51"/>
      <c r="AJ35" s="34"/>
      <c r="AK35" s="34"/>
      <c r="AL35" s="18"/>
    </row>
    <row r="36" spans="1:38" ht="12.95" customHeight="1" x14ac:dyDescent="0.25">
      <c r="A36" s="18"/>
      <c r="B36" s="71" t="s">
        <v>97</v>
      </c>
      <c r="C36" s="378"/>
      <c r="D36" s="539" t="str">
        <f>IF(ISNUMBER(C36),-C36,"")</f>
        <v/>
      </c>
      <c r="E36" s="540" t="s">
        <v>106</v>
      </c>
      <c r="F36" s="541"/>
      <c r="G36" s="393"/>
      <c r="H36" s="542"/>
      <c r="I36" s="18"/>
      <c r="J36" s="18"/>
      <c r="K36" s="72" t="s">
        <v>97</v>
      </c>
      <c r="L36" s="327" t="str">
        <f>IF(ISNUMBER(C39),C39*F133,"")</f>
        <v/>
      </c>
      <c r="M36" s="328" t="str">
        <f>IF(ISNUMBER(D39),D39*F133,"")</f>
        <v/>
      </c>
      <c r="N36" s="60"/>
      <c r="O36" s="63"/>
      <c r="P36" s="18"/>
      <c r="Q36" s="18"/>
      <c r="R36" s="18"/>
      <c r="S36" s="18"/>
      <c r="T36" s="18"/>
      <c r="U36" s="18"/>
      <c r="V36" s="17" t="s">
        <v>145</v>
      </c>
      <c r="W36" s="35">
        <f t="shared" ref="W36:AA36" si="7">W49+$W$12</f>
        <v>1.06</v>
      </c>
      <c r="X36" s="35">
        <f t="shared" si="7"/>
        <v>2.06</v>
      </c>
      <c r="Y36" s="35">
        <f t="shared" si="7"/>
        <v>3.06</v>
      </c>
      <c r="Z36" s="35">
        <f t="shared" si="7"/>
        <v>4.0599999999999996</v>
      </c>
      <c r="AA36" s="35">
        <f t="shared" si="7"/>
        <v>5.0599999999999996</v>
      </c>
      <c r="AB36" s="18"/>
      <c r="AC36" s="18"/>
      <c r="AD36" s="18"/>
      <c r="AE36" s="18"/>
      <c r="AF36" s="18"/>
      <c r="AG36" s="18"/>
      <c r="AH36" s="18"/>
      <c r="AI36" s="51"/>
      <c r="AJ36" s="34"/>
      <c r="AK36" s="34"/>
      <c r="AL36" s="18"/>
    </row>
    <row r="37" spans="1:38" s="1" customFormat="1" ht="12.95" customHeight="1" x14ac:dyDescent="0.25">
      <c r="A37" s="18"/>
      <c r="B37" s="71" t="s">
        <v>98</v>
      </c>
      <c r="C37" s="379"/>
      <c r="D37" s="377" t="str">
        <f>IF(ISNUMBER(C37),100/(1+C37/100)-100,"")</f>
        <v/>
      </c>
      <c r="E37" s="535" t="s">
        <v>107</v>
      </c>
      <c r="F37" s="376"/>
      <c r="G37" s="537"/>
      <c r="H37" s="538"/>
      <c r="I37" s="18"/>
      <c r="J37" s="18"/>
      <c r="K37" s="71" t="s">
        <v>98</v>
      </c>
      <c r="L37" s="329" t="str">
        <f>IF(ISNUMBER(C39),100*EXP(W133*C39/100)-100,"")</f>
        <v/>
      </c>
      <c r="M37" s="330" t="str">
        <f>IF(ISNUMBER(D39),100*EXP(W133*D39/100)-100,"")</f>
        <v/>
      </c>
      <c r="N37" s="135"/>
      <c r="O37" s="260"/>
      <c r="P37" s="18"/>
      <c r="Q37" s="18"/>
      <c r="R37" s="314" t="s">
        <v>205</v>
      </c>
      <c r="S37" s="18"/>
      <c r="T37" s="18"/>
      <c r="U37" s="18"/>
      <c r="V37" s="17" t="s">
        <v>90</v>
      </c>
      <c r="W37" s="35">
        <f t="shared" ref="W37:AA37" si="8">W110</f>
        <v>400.09213977511882</v>
      </c>
      <c r="X37" s="35">
        <f t="shared" si="8"/>
        <v>398.01330517665417</v>
      </c>
      <c r="Y37" s="35">
        <f t="shared" si="8"/>
        <v>408.78819767845152</v>
      </c>
      <c r="Z37" s="35">
        <f t="shared" si="8"/>
        <v>403.20172955080625</v>
      </c>
      <c r="AA37" s="35">
        <f t="shared" si="8"/>
        <v>403.87387095847151</v>
      </c>
      <c r="AB37" s="18"/>
      <c r="AC37" s="19"/>
      <c r="AD37" s="23"/>
      <c r="AE37" s="18"/>
      <c r="AF37" s="18"/>
      <c r="AG37" s="18"/>
      <c r="AH37" s="18"/>
      <c r="AI37" s="314" t="s">
        <v>205</v>
      </c>
      <c r="AJ37" s="34"/>
      <c r="AK37" s="34"/>
      <c r="AL37" s="18"/>
    </row>
    <row r="38" spans="1:38" s="1" customFormat="1" ht="12.95" customHeight="1" x14ac:dyDescent="0.25">
      <c r="A38" s="18"/>
      <c r="B38" s="71" t="s">
        <v>99</v>
      </c>
      <c r="C38" s="544"/>
      <c r="D38" s="376" t="str">
        <f>IF(ISNUMBER(C38),1/C38,"")</f>
        <v/>
      </c>
      <c r="E38" s="535" t="s">
        <v>107</v>
      </c>
      <c r="F38" s="376"/>
      <c r="G38" s="537"/>
      <c r="H38" s="538"/>
      <c r="I38" s="18"/>
      <c r="J38" s="18"/>
      <c r="K38" s="73" t="s">
        <v>99</v>
      </c>
      <c r="L38" s="331" t="str">
        <f>IF(ISNUMBER(C39),1+L37/100,"")</f>
        <v/>
      </c>
      <c r="M38" s="332" t="str">
        <f>IF(ISNUMBER(D39),1+M37/100,"")</f>
        <v/>
      </c>
      <c r="N38" s="141"/>
      <c r="O38" s="68"/>
      <c r="P38" s="18"/>
      <c r="Q38" s="18"/>
      <c r="R38" s="314" t="s">
        <v>203</v>
      </c>
      <c r="S38" s="18"/>
      <c r="T38" s="18"/>
      <c r="U38" s="18"/>
      <c r="V38" s="18" t="s">
        <v>91</v>
      </c>
      <c r="W38" s="18">
        <f t="shared" ref="W38:AA38" si="9">W37*W112-W37</f>
        <v>12.719088574958562</v>
      </c>
      <c r="X38" s="18">
        <f t="shared" si="9"/>
        <v>8.588824173720468</v>
      </c>
      <c r="Y38" s="18">
        <f t="shared" si="9"/>
        <v>13.023884515630925</v>
      </c>
      <c r="Z38" s="18">
        <f t="shared" si="9"/>
        <v>11.150033045077691</v>
      </c>
      <c r="AA38" s="18">
        <f t="shared" si="9"/>
        <v>9.8371016570886241</v>
      </c>
      <c r="AB38" s="18"/>
      <c r="AC38" s="19"/>
      <c r="AD38" s="23"/>
      <c r="AE38" s="18"/>
      <c r="AF38" s="18"/>
      <c r="AG38" s="18"/>
      <c r="AH38" s="18"/>
      <c r="AI38" s="314" t="s">
        <v>203</v>
      </c>
      <c r="AJ38" s="34"/>
      <c r="AK38" s="34"/>
      <c r="AL38" s="18"/>
    </row>
    <row r="39" spans="1:38" s="1" customFormat="1" ht="12.95" customHeight="1" x14ac:dyDescent="0.25">
      <c r="A39" s="18"/>
      <c r="B39" s="73" t="s">
        <v>100</v>
      </c>
      <c r="C39" s="378"/>
      <c r="D39" s="376" t="str">
        <f>IF(ISNUMBER(C39),-C39,"")</f>
        <v/>
      </c>
      <c r="E39" s="535" t="s">
        <v>279</v>
      </c>
      <c r="F39" s="536"/>
      <c r="G39" s="537"/>
      <c r="H39" s="538"/>
      <c r="I39" s="18"/>
      <c r="J39" s="18"/>
      <c r="K39" s="36" t="s">
        <v>118</v>
      </c>
      <c r="L39" s="18"/>
      <c r="M39" s="18"/>
      <c r="N39" s="18"/>
      <c r="O39" s="18"/>
      <c r="P39" s="18"/>
      <c r="Q39" s="18"/>
      <c r="R39" s="18"/>
      <c r="S39" s="18"/>
      <c r="T39" s="18"/>
      <c r="U39" s="18"/>
      <c r="V39" s="18" t="s">
        <v>92</v>
      </c>
      <c r="W39" s="18">
        <f t="shared" ref="W39:AA39" si="10">W37-W37/W112</f>
        <v>12.327201913289457</v>
      </c>
      <c r="X39" s="18">
        <f t="shared" si="10"/>
        <v>8.4073989047359419</v>
      </c>
      <c r="Y39" s="18">
        <f t="shared" si="10"/>
        <v>12.621758604504407</v>
      </c>
      <c r="Z39" s="18">
        <f t="shared" si="10"/>
        <v>10.849990308134977</v>
      </c>
      <c r="AA39" s="18">
        <f t="shared" si="10"/>
        <v>9.6031978560844777</v>
      </c>
      <c r="AB39" s="18"/>
      <c r="AC39" s="19"/>
      <c r="AD39" s="23"/>
      <c r="AE39" s="18"/>
      <c r="AF39" s="18"/>
      <c r="AG39" s="18"/>
      <c r="AH39" s="18"/>
      <c r="AI39" s="51"/>
      <c r="AJ39" s="34"/>
      <c r="AK39" s="34"/>
      <c r="AL39" s="18"/>
    </row>
    <row r="40" spans="1:38" s="1" customFormat="1" ht="12.95" customHeight="1" x14ac:dyDescent="0.2">
      <c r="A40" s="18"/>
      <c r="B40" s="18"/>
      <c r="C40" s="18"/>
      <c r="D40" s="18"/>
      <c r="E40" s="18"/>
      <c r="F40" s="18"/>
      <c r="G40" s="18"/>
      <c r="H40" s="18"/>
      <c r="I40" s="18"/>
      <c r="J40" s="18"/>
      <c r="K40" s="380" t="s">
        <v>234</v>
      </c>
      <c r="L40" s="18"/>
      <c r="M40" s="18"/>
      <c r="N40" s="18"/>
      <c r="O40" s="18"/>
      <c r="P40" s="18"/>
      <c r="Q40" s="18"/>
      <c r="R40" s="18"/>
      <c r="S40" s="18"/>
      <c r="T40" s="18"/>
      <c r="U40" s="18"/>
      <c r="V40" s="18"/>
      <c r="W40" s="18"/>
      <c r="X40" s="18"/>
      <c r="Y40" s="18"/>
      <c r="Z40" s="18"/>
      <c r="AA40" s="18"/>
      <c r="AB40" s="18"/>
      <c r="AC40" s="19"/>
      <c r="AD40" s="23"/>
      <c r="AE40" s="18"/>
      <c r="AF40" s="18"/>
      <c r="AG40" s="18"/>
      <c r="AH40" s="18"/>
      <c r="AI40" s="18"/>
      <c r="AJ40" s="18"/>
      <c r="AK40" s="18"/>
      <c r="AL40" s="18"/>
    </row>
    <row r="41" spans="1:38" s="1" customFormat="1" ht="13.9" customHeight="1" x14ac:dyDescent="0.25">
      <c r="A41" s="18"/>
      <c r="B41" s="15"/>
      <c r="C41" s="16"/>
      <c r="D41" s="16"/>
      <c r="E41" s="16"/>
      <c r="F41" s="19"/>
      <c r="G41" s="22"/>
      <c r="H41" s="22"/>
      <c r="I41" s="22"/>
      <c r="J41" s="22"/>
      <c r="K41" s="18"/>
      <c r="L41" s="19"/>
      <c r="M41" s="23"/>
      <c r="N41" s="18"/>
      <c r="O41" s="18"/>
      <c r="P41" s="18"/>
      <c r="Q41" s="18"/>
      <c r="R41" s="18"/>
      <c r="S41" s="18"/>
      <c r="T41" s="18"/>
      <c r="U41" s="18"/>
      <c r="V41" s="18"/>
      <c r="W41" s="18"/>
      <c r="X41" s="18"/>
      <c r="Y41" s="18"/>
      <c r="Z41" s="18"/>
      <c r="AA41" s="18"/>
      <c r="AB41" s="18"/>
      <c r="AC41" s="19"/>
      <c r="AD41" s="23"/>
      <c r="AE41" s="18"/>
      <c r="AF41" s="18"/>
      <c r="AG41" s="18"/>
      <c r="AH41" s="18"/>
      <c r="AI41" s="51"/>
      <c r="AJ41" s="34"/>
      <c r="AK41" s="34"/>
      <c r="AL41" s="18"/>
    </row>
    <row r="42" spans="1:38" s="1" customFormat="1" ht="13.9" customHeight="1" x14ac:dyDescent="0.25">
      <c r="A42" s="18"/>
      <c r="B42" s="528"/>
      <c r="C42" s="529"/>
      <c r="D42" s="529"/>
      <c r="E42" s="530" t="s">
        <v>266</v>
      </c>
      <c r="F42" s="11">
        <v>90</v>
      </c>
      <c r="G42" s="19"/>
      <c r="H42" s="19"/>
      <c r="I42" s="19"/>
      <c r="J42" s="19"/>
      <c r="K42" s="646" t="s">
        <v>128</v>
      </c>
      <c r="L42" s="647"/>
      <c r="M42" s="552" t="s">
        <v>123</v>
      </c>
      <c r="N42" s="552"/>
      <c r="O42" s="648" t="s">
        <v>124</v>
      </c>
      <c r="P42" s="552"/>
      <c r="Q42" s="18"/>
      <c r="R42" s="18"/>
      <c r="S42" s="18"/>
      <c r="T42" s="18"/>
      <c r="U42" s="18"/>
      <c r="V42" s="18"/>
      <c r="W42" s="18"/>
      <c r="X42" s="18"/>
      <c r="Y42" s="18"/>
      <c r="Z42" s="18"/>
      <c r="AA42" s="18"/>
      <c r="AB42" s="646" t="s">
        <v>128</v>
      </c>
      <c r="AC42" s="647"/>
      <c r="AD42" s="552" t="s">
        <v>123</v>
      </c>
      <c r="AE42" s="552"/>
      <c r="AF42" s="648" t="s">
        <v>124</v>
      </c>
      <c r="AG42" s="552"/>
      <c r="AH42" s="18"/>
      <c r="AI42" s="51"/>
      <c r="AJ42" s="34"/>
      <c r="AK42" s="34"/>
      <c r="AL42" s="18"/>
    </row>
    <row r="43" spans="1:38" s="1" customFormat="1" ht="13.9" customHeight="1" x14ac:dyDescent="0.25">
      <c r="A43" s="18"/>
      <c r="B43" s="334"/>
      <c r="C43" s="335"/>
      <c r="D43" s="335"/>
      <c r="E43" s="336" t="s">
        <v>270</v>
      </c>
      <c r="F43" s="11">
        <v>1</v>
      </c>
      <c r="G43" s="19"/>
      <c r="H43" s="19"/>
      <c r="I43" s="19"/>
      <c r="J43" s="19"/>
      <c r="K43" s="646"/>
      <c r="L43" s="647"/>
      <c r="M43" s="78" t="str">
        <f>D51</f>
        <v>X1</v>
      </c>
      <c r="N43" s="78" t="str">
        <f>E51</f>
        <v>X2</v>
      </c>
      <c r="O43" s="78" t="str">
        <f>M43</f>
        <v>X1</v>
      </c>
      <c r="P43" s="78" t="str">
        <f>N43</f>
        <v>X2</v>
      </c>
      <c r="Q43" s="18"/>
      <c r="R43" s="18"/>
      <c r="S43" s="18"/>
      <c r="T43" s="18"/>
      <c r="U43" s="18"/>
      <c r="V43" s="18"/>
      <c r="W43" s="18"/>
      <c r="X43" s="18"/>
      <c r="Y43" s="18"/>
      <c r="Z43" s="18"/>
      <c r="AA43" s="18"/>
      <c r="AB43" s="646"/>
      <c r="AC43" s="647"/>
      <c r="AD43" s="78" t="str">
        <f>D51</f>
        <v>X1</v>
      </c>
      <c r="AE43" s="78" t="str">
        <f>E51</f>
        <v>X2</v>
      </c>
      <c r="AF43" s="78" t="str">
        <f>AD43</f>
        <v>X1</v>
      </c>
      <c r="AG43" s="78" t="str">
        <f>AE43</f>
        <v>X2</v>
      </c>
      <c r="AH43" s="18"/>
      <c r="AI43" s="51"/>
      <c r="AJ43" s="34"/>
      <c r="AK43" s="34"/>
      <c r="AL43" s="18"/>
    </row>
    <row r="44" spans="1:38" s="1" customFormat="1" ht="14.45" customHeight="1" x14ac:dyDescent="0.25">
      <c r="A44" s="18"/>
      <c r="B44" s="75"/>
      <c r="C44" s="79"/>
      <c r="D44" s="79"/>
      <c r="E44" s="531" t="s">
        <v>277</v>
      </c>
      <c r="F44" s="532">
        <f>(100-F42)/2/F43</f>
        <v>5</v>
      </c>
      <c r="G44" s="19"/>
      <c r="H44" s="19"/>
      <c r="I44" s="19"/>
      <c r="J44" s="19"/>
      <c r="K44" s="80"/>
      <c r="L44" s="81" t="s">
        <v>129</v>
      </c>
      <c r="M44" s="25"/>
      <c r="N44" s="25"/>
      <c r="O44" s="319">
        <f>IF(ISNUMBER(M44),M44,M45)</f>
        <v>9.5474999999999994</v>
      </c>
      <c r="P44" s="319">
        <f>IF(ISNUMBER(N44),N44,N45)</f>
        <v>400.46000000000004</v>
      </c>
      <c r="Q44" s="18"/>
      <c r="R44" s="18"/>
      <c r="S44" s="18"/>
      <c r="T44" s="18"/>
      <c r="U44" s="18"/>
      <c r="V44" s="38"/>
      <c r="W44" s="18"/>
      <c r="X44" s="18"/>
      <c r="Y44" s="18"/>
      <c r="Z44" s="18"/>
      <c r="AA44" s="18"/>
      <c r="AB44" s="80"/>
      <c r="AC44" s="369" t="s">
        <v>129</v>
      </c>
      <c r="AD44" s="25"/>
      <c r="AE44" s="25"/>
      <c r="AF44" s="319">
        <f>IF(ISNUMBER(AD44),AD44,AD45)</f>
        <v>9.5474999999999994</v>
      </c>
      <c r="AG44" s="319">
        <f>IF(ISNUMBER(AE44),AE44,AE45)</f>
        <v>599.22938398611871</v>
      </c>
      <c r="AH44" s="18"/>
      <c r="AI44" s="51"/>
      <c r="AJ44" s="34"/>
      <c r="AK44" s="34"/>
      <c r="AL44" s="18"/>
    </row>
    <row r="45" spans="1:38" s="1" customFormat="1" ht="13.9" customHeight="1" x14ac:dyDescent="0.25">
      <c r="A45" s="18"/>
      <c r="B45" s="75"/>
      <c r="C45" s="76"/>
      <c r="D45" s="76"/>
      <c r="E45" s="77" t="s">
        <v>108</v>
      </c>
      <c r="F45" s="533">
        <f>(100-F42)/20/F43</f>
        <v>0.5</v>
      </c>
      <c r="G45" s="19"/>
      <c r="H45" s="19"/>
      <c r="I45" s="19"/>
      <c r="J45" s="19"/>
      <c r="K45" s="649" t="s">
        <v>130</v>
      </c>
      <c r="L45" s="650"/>
      <c r="M45" s="26">
        <f>D118</f>
        <v>9.5474999999999994</v>
      </c>
      <c r="N45" s="26">
        <f>E118</f>
        <v>400.46000000000004</v>
      </c>
      <c r="O45" s="27"/>
      <c r="P45" s="27"/>
      <c r="Q45" s="18"/>
      <c r="R45" s="18"/>
      <c r="S45" s="18"/>
      <c r="T45" s="18"/>
      <c r="U45" s="18"/>
      <c r="V45" s="18"/>
      <c r="W45" s="18"/>
      <c r="X45" s="18"/>
      <c r="Y45" s="18"/>
      <c r="Z45" s="18"/>
      <c r="AA45" s="18"/>
      <c r="AB45" s="649" t="s">
        <v>130</v>
      </c>
      <c r="AC45" s="650"/>
      <c r="AD45" s="26">
        <f>U118</f>
        <v>9.5474999999999994</v>
      </c>
      <c r="AE45" s="26">
        <f>V118</f>
        <v>599.22938398611871</v>
      </c>
      <c r="AF45" s="27"/>
      <c r="AG45" s="27"/>
      <c r="AH45" s="18"/>
      <c r="AI45" s="51"/>
      <c r="AJ45" s="34"/>
      <c r="AK45" s="34"/>
      <c r="AL45" s="18"/>
    </row>
    <row r="46" spans="1:38" s="1" customFormat="1" ht="13.9" customHeight="1" x14ac:dyDescent="0.25">
      <c r="A46" s="18"/>
      <c r="B46" s="75"/>
      <c r="C46" s="76"/>
      <c r="D46" s="76"/>
      <c r="E46" s="77" t="s">
        <v>109</v>
      </c>
      <c r="F46" s="532">
        <f>F45*50</f>
        <v>25</v>
      </c>
      <c r="G46" s="19"/>
      <c r="H46" s="19"/>
      <c r="I46" s="19"/>
      <c r="J46" s="19"/>
      <c r="K46" s="649" t="s">
        <v>131</v>
      </c>
      <c r="L46" s="650"/>
      <c r="M46" s="26">
        <f>D119</f>
        <v>3.8948599731603073</v>
      </c>
      <c r="N46" s="26">
        <f>E119</f>
        <v>9.4525616132682089</v>
      </c>
      <c r="O46" s="27"/>
      <c r="P46" s="27"/>
      <c r="Q46" s="18"/>
      <c r="R46" s="18"/>
      <c r="S46" s="18"/>
      <c r="T46" s="18"/>
      <c r="U46" s="18"/>
      <c r="V46" s="18"/>
      <c r="W46" s="18"/>
      <c r="X46" s="18"/>
      <c r="Y46" s="18"/>
      <c r="Z46" s="18"/>
      <c r="AA46" s="18"/>
      <c r="AB46" s="649" t="s">
        <v>131</v>
      </c>
      <c r="AC46" s="650"/>
      <c r="AD46" s="26">
        <f>U119</f>
        <v>3.8948599731603073</v>
      </c>
      <c r="AE46" s="26">
        <f>V119</f>
        <v>2.3388481955234774</v>
      </c>
      <c r="AF46" s="27"/>
      <c r="AG46" s="27"/>
      <c r="AH46" s="18"/>
      <c r="AI46" s="51"/>
      <c r="AJ46" s="34"/>
      <c r="AK46" s="34"/>
      <c r="AL46" s="18"/>
    </row>
    <row r="47" spans="1:38" s="1" customFormat="1" ht="14.45" customHeight="1" x14ac:dyDescent="0.25">
      <c r="A47" s="18"/>
      <c r="B47" s="82"/>
      <c r="C47" s="83"/>
      <c r="D47" s="83"/>
      <c r="E47" s="84" t="s">
        <v>112</v>
      </c>
      <c r="F47" s="534">
        <f>ROUND(F46/(100-F46)/(F45/(100-F45)),0)</f>
        <v>66</v>
      </c>
      <c r="G47" s="19"/>
      <c r="H47" s="18"/>
      <c r="I47" s="19"/>
      <c r="J47" s="19"/>
      <c r="K47" s="80"/>
      <c r="L47" s="283" t="s">
        <v>158</v>
      </c>
      <c r="M47" s="25"/>
      <c r="N47" s="28"/>
      <c r="O47" s="318" t="str">
        <f>IF(ISNUMBER(M47),M47,"")</f>
        <v/>
      </c>
      <c r="P47" s="318" t="str">
        <f>IF(ISNUMBER(N47),N47,"")</f>
        <v/>
      </c>
      <c r="Q47" s="29"/>
      <c r="R47" s="18"/>
      <c r="S47" s="18"/>
      <c r="T47" s="18"/>
      <c r="U47" s="18">
        <f>IF(ISNUMBER(D52),D52,"miss")</f>
        <v>8.9</v>
      </c>
      <c r="V47" s="18"/>
      <c r="W47" s="18"/>
      <c r="X47" s="18"/>
      <c r="Y47" s="18"/>
      <c r="Z47" s="18"/>
      <c r="AA47" s="18"/>
      <c r="AB47" s="80"/>
      <c r="AC47" s="326" t="s">
        <v>158</v>
      </c>
      <c r="AD47" s="28"/>
      <c r="AE47" s="28"/>
      <c r="AF47" s="318" t="str">
        <f>IF(ISNUMBER(AD47),AD47,"")</f>
        <v/>
      </c>
      <c r="AG47" s="318" t="str">
        <f>IF(ISNUMBER(AE47),AE47,"")</f>
        <v/>
      </c>
      <c r="AH47" s="18"/>
      <c r="AI47" s="51"/>
      <c r="AJ47" s="34"/>
      <c r="AK47" s="34"/>
      <c r="AL47" s="18"/>
    </row>
    <row r="48" spans="1:38" s="1" customFormat="1" ht="13.9" customHeight="1" x14ac:dyDescent="0.2">
      <c r="A48" s="18"/>
      <c r="B48" s="30"/>
      <c r="C48" s="16"/>
      <c r="D48" s="16"/>
      <c r="E48" s="168" t="s">
        <v>221</v>
      </c>
      <c r="F48" s="350">
        <f>IF(F50&lt;0,-F50,"")</f>
        <v>0.5</v>
      </c>
      <c r="G48" s="350">
        <f>IF(G50&lt;0,-G50,"")</f>
        <v>0.5</v>
      </c>
      <c r="H48" s="350" t="str">
        <f>IF(H50&lt;0,-H50,"")</f>
        <v/>
      </c>
      <c r="I48" s="350" t="str">
        <f>IF(I50&lt;0,-I50,"")</f>
        <v/>
      </c>
      <c r="J48" s="350" t="str">
        <f>IF(J50&lt;0,-J50,"")</f>
        <v/>
      </c>
      <c r="K48" s="18"/>
      <c r="L48" s="18"/>
      <c r="M48" s="18"/>
      <c r="N48" s="18"/>
      <c r="O48" s="18"/>
      <c r="P48" s="18"/>
      <c r="Q48" s="18"/>
      <c r="R48" s="18"/>
      <c r="S48" s="18"/>
      <c r="T48" s="18"/>
      <c r="U48" s="18"/>
      <c r="V48" s="168" t="s">
        <v>221</v>
      </c>
      <c r="W48" s="348">
        <f>IF(W50&lt;0,-W50,"")</f>
        <v>0.5</v>
      </c>
      <c r="X48" s="348">
        <f>IF(X50&lt;0,-X50,"")</f>
        <v>0.5</v>
      </c>
      <c r="Y48" s="348" t="str">
        <f>IF(Y50&lt;0,-Y50,"")</f>
        <v/>
      </c>
      <c r="Z48" s="348" t="str">
        <f>IF(Z50&lt;0,-Z50,"")</f>
        <v/>
      </c>
      <c r="AA48" s="348" t="str">
        <f>IF(AA50&lt;0,-AA50,"")</f>
        <v/>
      </c>
      <c r="AB48" s="18"/>
      <c r="AC48" s="18"/>
      <c r="AD48" s="18"/>
      <c r="AE48" s="18"/>
      <c r="AF48" s="18"/>
      <c r="AG48" s="18"/>
      <c r="AH48" s="18"/>
      <c r="AI48" s="51"/>
      <c r="AJ48" s="34"/>
      <c r="AK48" s="34"/>
      <c r="AL48" s="18"/>
    </row>
    <row r="49" spans="1:38" s="1" customFormat="1" ht="13.9" customHeight="1" x14ac:dyDescent="0.2">
      <c r="A49" s="18"/>
      <c r="B49" s="572" t="s">
        <v>4</v>
      </c>
      <c r="C49" s="573"/>
      <c r="D49" s="251"/>
      <c r="E49" s="251" t="s">
        <v>138</v>
      </c>
      <c r="F49" s="434">
        <v>1</v>
      </c>
      <c r="G49" s="435">
        <v>2</v>
      </c>
      <c r="H49" s="435">
        <v>3</v>
      </c>
      <c r="I49" s="435">
        <v>4</v>
      </c>
      <c r="J49" s="435">
        <v>5</v>
      </c>
      <c r="K49" s="107"/>
      <c r="L49" s="19"/>
      <c r="M49" s="552" t="s">
        <v>123</v>
      </c>
      <c r="N49" s="552"/>
      <c r="O49" s="552" t="s">
        <v>124</v>
      </c>
      <c r="P49" s="552"/>
      <c r="Q49" s="18"/>
      <c r="R49" s="18"/>
      <c r="S49" s="576" t="s">
        <v>5</v>
      </c>
      <c r="T49" s="577"/>
      <c r="U49" s="246"/>
      <c r="V49" s="246" t="s">
        <v>138</v>
      </c>
      <c r="W49" s="438">
        <f t="shared" ref="W49:AA50" si="11">F49</f>
        <v>1</v>
      </c>
      <c r="X49" s="439">
        <f t="shared" si="11"/>
        <v>2</v>
      </c>
      <c r="Y49" s="439">
        <f t="shared" si="11"/>
        <v>3</v>
      </c>
      <c r="Z49" s="439">
        <f t="shared" si="11"/>
        <v>4</v>
      </c>
      <c r="AA49" s="439">
        <f t="shared" si="11"/>
        <v>5</v>
      </c>
      <c r="AB49" s="107"/>
      <c r="AC49" s="19"/>
      <c r="AD49" s="552" t="s">
        <v>123</v>
      </c>
      <c r="AE49" s="552"/>
      <c r="AF49" s="552" t="s">
        <v>124</v>
      </c>
      <c r="AG49" s="552"/>
      <c r="AH49" s="18"/>
      <c r="AI49" s="550" t="s">
        <v>265</v>
      </c>
      <c r="AJ49" s="550"/>
      <c r="AK49" s="550"/>
      <c r="AL49" s="550"/>
    </row>
    <row r="50" spans="1:38" s="9" customFormat="1" ht="13.9" customHeight="1" x14ac:dyDescent="0.2">
      <c r="A50" s="52"/>
      <c r="B50" s="574"/>
      <c r="C50" s="575"/>
      <c r="D50" s="250"/>
      <c r="E50" s="250" t="s">
        <v>125</v>
      </c>
      <c r="F50" s="436">
        <v>-0.5</v>
      </c>
      <c r="G50" s="437">
        <v>-0.5</v>
      </c>
      <c r="H50" s="437">
        <v>1</v>
      </c>
      <c r="I50" s="437">
        <v>0</v>
      </c>
      <c r="J50" s="437">
        <v>0</v>
      </c>
      <c r="K50" s="652" t="str">
        <f>IF(AND(SUM(F50:J50)=0,SUMIFS(F50:J50,F50:J50,"&gt;0")=1),"Good weights",IF(AND(SUM(F50:J50)=-1,SUMIFS(F50:J50,F50:J50,"&gt;0")=0),"Your own custom effect: see comment.",IF(SUM(F50:J50)=0,"Your own custom effect: see comment.","Bad weights: see comment.")))</f>
        <v>Good weights</v>
      </c>
      <c r="L50" s="653"/>
      <c r="M50" s="651" t="str">
        <f>IF(ISNUMBER(M47),"Effect of delta "&amp;M43,IF(ISNUMBER(M44),"Custom effect, adj. for "&amp;M43,"Custom effect, not adjusted"))</f>
        <v>Custom effect, not adjusted</v>
      </c>
      <c r="N50" s="651" t="str">
        <f>IF(ISNUMBER(N47),"Effect of delta "&amp;N43,IF(ISNUMBER(N44),"Custom effect, adj. for "&amp;N43,"Custom effect, not adjusted"))</f>
        <v>Custom effect, not adjusted</v>
      </c>
      <c r="O50" s="651" t="str">
        <f>IF(ISNUMBER(O47),"Effect of delta "&amp;O43,"Custom effect, adjusted")</f>
        <v>Custom effect, adjusted</v>
      </c>
      <c r="P50" s="651" t="str">
        <f>IF(ISNUMBER(P47),"Effect of delta "&amp;P43,"Custom effect, adjusted")</f>
        <v>Custom effect, adjusted</v>
      </c>
      <c r="Q50" s="52"/>
      <c r="R50" s="52"/>
      <c r="S50" s="578"/>
      <c r="T50" s="579"/>
      <c r="U50" s="249"/>
      <c r="V50" s="249" t="s">
        <v>125</v>
      </c>
      <c r="W50" s="440">
        <f t="shared" si="11"/>
        <v>-0.5</v>
      </c>
      <c r="X50" s="441">
        <f t="shared" si="11"/>
        <v>-0.5</v>
      </c>
      <c r="Y50" s="441">
        <f t="shared" si="11"/>
        <v>1</v>
      </c>
      <c r="Z50" s="441">
        <f t="shared" si="11"/>
        <v>0</v>
      </c>
      <c r="AA50" s="441">
        <f t="shared" si="11"/>
        <v>0</v>
      </c>
      <c r="AB50" s="652" t="str">
        <f>IF(AND(SUM(W50:AA50)=0,SUMIFS(W50:AA50,W50:AA50,"&gt;0")=1),"Good weights",IF(AND(SUM(W50:AA50)=-1,SUMIFS(W50:AA50,W50:AA50,"&gt;0")=0),"Your own custom effect: see comment.",IF(SUM(W50:AA50)=0,"Your own custom effect: see comment.","Bad weights: see comment.")))</f>
        <v>Good weights</v>
      </c>
      <c r="AC50" s="653"/>
      <c r="AD50" s="651" t="str">
        <f>IF(ISNUMBER(AD47),"Effect of delta "&amp;AD43,IF(ISNUMBER(AD44),"Custom effect, adj. for "&amp;AD43,"Custom effect, not adjusted"))</f>
        <v>Custom effect, not adjusted</v>
      </c>
      <c r="AE50" s="651" t="str">
        <f>IF(ISNUMBER(AE47),"Effect of delta "&amp;AE43,IF(ISNUMBER(AE44),"Custom effect, adj. for "&amp;AE43,"Custom effect, not adjusted"))</f>
        <v>Custom effect, not adjusted</v>
      </c>
      <c r="AF50" s="651" t="str">
        <f>IF(ISNUMBER(AF47),"Effect of delta "&amp;AF43,"Custom effect, adjusted")</f>
        <v>Custom effect, adjusted</v>
      </c>
      <c r="AG50" s="651" t="str">
        <f>IF(ISNUMBER(AG47),"Effect of delta "&amp;AG43,"Custom effect, adjusted")</f>
        <v>Custom effect, adjusted</v>
      </c>
      <c r="AH50" s="52"/>
      <c r="AI50" s="551" t="str">
        <f>AD50</f>
        <v>Custom effect, not adjusted</v>
      </c>
      <c r="AJ50" s="551" t="str">
        <f t="shared" ref="AJ50:AL50" si="12">AE50</f>
        <v>Custom effect, not adjusted</v>
      </c>
      <c r="AK50" s="551" t="str">
        <f t="shared" si="12"/>
        <v>Custom effect, adjusted</v>
      </c>
      <c r="AL50" s="551" t="str">
        <f t="shared" si="12"/>
        <v>Custom effect, adjusted</v>
      </c>
    </row>
    <row r="51" spans="1:38" s="9" customFormat="1" ht="27.2" customHeight="1" x14ac:dyDescent="0.2">
      <c r="A51" s="104"/>
      <c r="B51" s="85" t="s">
        <v>16</v>
      </c>
      <c r="C51" s="85" t="s">
        <v>0</v>
      </c>
      <c r="D51" s="86" t="s">
        <v>126</v>
      </c>
      <c r="E51" s="86" t="s">
        <v>127</v>
      </c>
      <c r="F51" s="86" t="s">
        <v>93</v>
      </c>
      <c r="G51" s="86" t="s">
        <v>94</v>
      </c>
      <c r="H51" s="86" t="s">
        <v>95</v>
      </c>
      <c r="I51" s="86" t="s">
        <v>96</v>
      </c>
      <c r="J51" s="86" t="s">
        <v>216</v>
      </c>
      <c r="K51" s="654"/>
      <c r="L51" s="655"/>
      <c r="M51" s="651"/>
      <c r="N51" s="651"/>
      <c r="O51" s="651"/>
      <c r="P51" s="651"/>
      <c r="Q51" s="52"/>
      <c r="R51" s="104"/>
      <c r="S51" s="85" t="str">
        <f t="shared" ref="S51:X51" si="13">B51</f>
        <v>Group</v>
      </c>
      <c r="T51" s="85" t="str">
        <f t="shared" si="13"/>
        <v>Name</v>
      </c>
      <c r="U51" s="88" t="str">
        <f t="shared" si="13"/>
        <v>X1</v>
      </c>
      <c r="V51" s="88" t="str">
        <f>E51</f>
        <v>X2</v>
      </c>
      <c r="W51" s="88" t="str">
        <f t="shared" si="13"/>
        <v>Pre1</v>
      </c>
      <c r="X51" s="88" t="str">
        <f t="shared" si="13"/>
        <v>Pre2</v>
      </c>
      <c r="Y51" s="88" t="str">
        <f t="shared" ref="Y51" si="14">H51</f>
        <v>Post1</v>
      </c>
      <c r="Z51" s="88" t="str">
        <f t="shared" ref="Z51" si="15">I51</f>
        <v>Post2</v>
      </c>
      <c r="AA51" s="88" t="str">
        <f t="shared" ref="AA51" si="16">J51</f>
        <v>Post3</v>
      </c>
      <c r="AB51" s="654"/>
      <c r="AC51" s="655"/>
      <c r="AD51" s="651"/>
      <c r="AE51" s="651"/>
      <c r="AF51" s="651"/>
      <c r="AG51" s="651"/>
      <c r="AH51" s="52"/>
      <c r="AI51" s="551"/>
      <c r="AJ51" s="551"/>
      <c r="AK51" s="551"/>
      <c r="AL51" s="551"/>
    </row>
    <row r="52" spans="1:38" x14ac:dyDescent="0.2">
      <c r="A52" s="105"/>
      <c r="B52" s="101" t="s">
        <v>17</v>
      </c>
      <c r="C52" s="103" t="s">
        <v>33</v>
      </c>
      <c r="D52" s="10">
        <v>8.9</v>
      </c>
      <c r="E52" s="56">
        <f>IF(SUMIFS(F$48:J$48,F52:J52,""),"",SUMPRODUCT(F$48:J$48,F52:J52)/SUM(F$48:J$48))</f>
        <v>398.85</v>
      </c>
      <c r="F52" s="10">
        <v>395.8</v>
      </c>
      <c r="G52" s="10">
        <v>401.9</v>
      </c>
      <c r="H52" s="10">
        <v>392.7</v>
      </c>
      <c r="I52" s="10">
        <v>411.1</v>
      </c>
      <c r="J52" s="10">
        <v>394.2</v>
      </c>
      <c r="K52" s="315" t="str">
        <f t="shared" ref="K52:K71" si="17">IF(SUMIFS(F$50:J$50,F52:J52,"",F$50:J$50,"&gt;0")-SUMIFS(F$50:J$50,F52:J52,"",F$50:J$50,"&lt;0"),"Missing data: clear the custom effect.","")</f>
        <v/>
      </c>
      <c r="L52" s="316"/>
      <c r="M52" s="57">
        <f t="shared" ref="M52:M71" si="18">SUMPRODUCT(F$50:J$50,F52:J52)</f>
        <v>-6.1500000000000341</v>
      </c>
      <c r="N52" s="57">
        <f>IF(ISBLANK(M52),"",M52)</f>
        <v>-6.1500000000000341</v>
      </c>
      <c r="O52" s="57">
        <f t="shared" ref="O52:O71" si="19">M52-(E52-P$44)*C$80</f>
        <v>-6.5056086455911322</v>
      </c>
      <c r="P52" s="57">
        <f t="shared" ref="P52:P71" si="20">M52-(D52-O$44)*D$80</f>
        <v>-6.2305517012655498</v>
      </c>
      <c r="Q52" s="315" t="str">
        <f t="shared" ref="Q52:Q71" si="21">IF(AND(ISNUMBER(D52),ISNUMBER(E52),ISNUMBER(M52),ISNUMBER(N52)),"","To adjust for both predictors, delete this entire row.")</f>
        <v/>
      </c>
      <c r="R52" s="105"/>
      <c r="S52" s="30" t="str">
        <f t="shared" ref="S52:S71" si="22">B52</f>
        <v>Control</v>
      </c>
      <c r="T52" s="30" t="str">
        <f t="shared" ref="T52:T71" si="23">C52</f>
        <v>Alex</v>
      </c>
      <c r="U52" s="56">
        <f>IF(ISNUMBER(D52),D52,"miss")</f>
        <v>8.9</v>
      </c>
      <c r="V52" s="56">
        <f>IF(_xlfn.ISFORMULA(E52),IF(SUMIFS(W$48:AA$48,W52:AA52,""),"",SUMPRODUCT(W$48:AA$48,W52:AA52)/SUM(W$48:AA$48)),E52)</f>
        <v>598.85561673118104</v>
      </c>
      <c r="W52" s="57">
        <f t="shared" ref="W52:W71" si="24">100*LN(F52)</f>
        <v>598.09090331684661</v>
      </c>
      <c r="X52" s="57">
        <f t="shared" ref="X52:X71" si="25">100*LN(G52)</f>
        <v>599.6203301455156</v>
      </c>
      <c r="Y52" s="57">
        <f t="shared" ref="Y52:Y71" si="26">100*LN(H52)</f>
        <v>597.30459615839641</v>
      </c>
      <c r="Z52" s="57">
        <f t="shared" ref="Z52:Z71" si="27">100*LN(I52)</f>
        <v>601.88364939038331</v>
      </c>
      <c r="AA52" s="57">
        <f t="shared" ref="AA52:AA71" si="28">100*LN(J52)</f>
        <v>597.68583947186198</v>
      </c>
      <c r="AB52" s="320" t="str">
        <f t="shared" ref="AB52:AB71" si="29">IF(SUMIFS(W$76:AA$76,W52:AA52,"#num!"),"Clear the #NUM! dependent value.",IF(SUMIFS(W$50:AA$50,W52:AA52,"",W$50:AA$50,"&gt;0")-SUMIFS(W$50:AA$50,W52:AA52,"",W$50:AA$50,"&lt;0"),"Now clear the custom effect.",""))</f>
        <v/>
      </c>
      <c r="AC52" s="321"/>
      <c r="AD52" s="57">
        <f t="shared" ref="AD52:AD71" si="30">SUMPRODUCT(W$50:AA$50,W52:AA52)</f>
        <v>-1.5510205727846369</v>
      </c>
      <c r="AE52" s="57">
        <f>IF(ISBLANK(AD52),"",AD52)</f>
        <v>-1.5510205727846369</v>
      </c>
      <c r="AF52" s="57">
        <f t="shared" ref="AF52:AF71" si="31">AD52-(V52-AG$44)*T$80</f>
        <v>-1.6324025070316759</v>
      </c>
      <c r="AG52" s="57">
        <f t="shared" ref="AG52:AG71" si="32">AD52-(U52-AF$44)*U$80</f>
        <v>-1.5733390377421042</v>
      </c>
      <c r="AH52" s="315" t="str">
        <f t="shared" ref="AH52:AH71" si="33">IF(AND(ISNUMBER(U52),ISNUMBER(V52),ISNUMBER(AD52),ISNUMBER(AE52)),"","To adjust for both predictors, delete this entire row.")</f>
        <v/>
      </c>
      <c r="AI52" s="313">
        <f>EXP(AD52/100)</f>
        <v>0.98460945804429212</v>
      </c>
      <c r="AJ52" s="313">
        <f t="shared" ref="AJ52:AL52" si="34">EXP(AE52/100)</f>
        <v>0.98460945804429212</v>
      </c>
      <c r="AK52" s="313">
        <f t="shared" si="34"/>
        <v>0.98380848978849289</v>
      </c>
      <c r="AL52" s="313">
        <f t="shared" si="34"/>
        <v>0.98438973284798814</v>
      </c>
    </row>
    <row r="53" spans="1:38" x14ac:dyDescent="0.2">
      <c r="A53" s="105"/>
      <c r="B53" s="102" t="str">
        <f>$B$52</f>
        <v>Control</v>
      </c>
      <c r="C53" s="103" t="s">
        <v>61</v>
      </c>
      <c r="D53" s="10">
        <v>11.4</v>
      </c>
      <c r="E53" s="56">
        <f t="shared" ref="E53:E71" si="35">IF(SUMIFS(F$48:J$48,F53:J53,""),"",SUMPRODUCT(F$48:J$48,F53:J53)/SUM(F$48:J$48))</f>
        <v>393.04999999999995</v>
      </c>
      <c r="F53" s="10">
        <v>391.9</v>
      </c>
      <c r="G53" s="10">
        <v>394.2</v>
      </c>
      <c r="H53" s="10">
        <v>402.6</v>
      </c>
      <c r="I53" s="10">
        <v>389.3</v>
      </c>
      <c r="J53" s="10">
        <v>392.4</v>
      </c>
      <c r="K53" s="315" t="str">
        <f t="shared" si="17"/>
        <v/>
      </c>
      <c r="L53" s="316"/>
      <c r="M53" s="57">
        <f t="shared" si="18"/>
        <v>9.5500000000000682</v>
      </c>
      <c r="N53" s="57">
        <f t="shared" ref="N53:N71" si="36">IF(ISBLANK(M53),"",M53)</f>
        <v>9.5500000000000682</v>
      </c>
      <c r="O53" s="57">
        <f t="shared" si="19"/>
        <v>7.9133167305404131</v>
      </c>
      <c r="P53" s="57">
        <f t="shared" si="20"/>
        <v>9.7804587283311406</v>
      </c>
      <c r="Q53" s="315" t="str">
        <f t="shared" si="21"/>
        <v/>
      </c>
      <c r="R53" s="105"/>
      <c r="S53" s="30" t="str">
        <f t="shared" si="22"/>
        <v>Control</v>
      </c>
      <c r="T53" s="30" t="str">
        <f t="shared" si="23"/>
        <v>Ariel</v>
      </c>
      <c r="U53" s="56">
        <f t="shared" ref="U53:U71" si="37">IF(ISNUMBER(D53),D53,"miss")</f>
        <v>11.4</v>
      </c>
      <c r="V53" s="56">
        <f t="shared" ref="V53:V71" si="38">IF(_xlfn.ISFORMULA(E53),IF(SUMIFS(W$48:AA$48,W53:AA53,""),"",SUMPRODUCT(W$48:AA$48,W53:AA53)/SUM(W$48:AA$48)),E53)</f>
        <v>597.39325499621032</v>
      </c>
      <c r="W53" s="57">
        <f t="shared" si="24"/>
        <v>597.10067052055854</v>
      </c>
      <c r="X53" s="57">
        <f t="shared" si="25"/>
        <v>597.68583947186198</v>
      </c>
      <c r="Y53" s="57">
        <f t="shared" si="26"/>
        <v>599.79435132056915</v>
      </c>
      <c r="Z53" s="57">
        <f t="shared" si="27"/>
        <v>596.43502546164098</v>
      </c>
      <c r="AA53" s="57">
        <f t="shared" si="28"/>
        <v>597.22817276912087</v>
      </c>
      <c r="AB53" s="320" t="str">
        <f t="shared" si="29"/>
        <v/>
      </c>
      <c r="AC53" s="321"/>
      <c r="AD53" s="57">
        <f t="shared" si="30"/>
        <v>2.4010963243588321</v>
      </c>
      <c r="AE53" s="57">
        <f t="shared" ref="AE53:AE71" si="39">IF(ISBLANK(AD53),"",AD53)</f>
        <v>2.4010963243588321</v>
      </c>
      <c r="AF53" s="57">
        <f t="shared" si="31"/>
        <v>2.0013081493601179</v>
      </c>
      <c r="AG53" s="57">
        <f t="shared" si="32"/>
        <v>2.4649495387738254</v>
      </c>
      <c r="AH53" s="315" t="str">
        <f t="shared" si="33"/>
        <v/>
      </c>
      <c r="AI53" s="313">
        <f t="shared" ref="AI53:AI71" si="40">EXP(AD53/100)</f>
        <v>1.0243015474964381</v>
      </c>
      <c r="AJ53" s="313">
        <f t="shared" ref="AJ53:AJ71" si="41">EXP(AE53/100)</f>
        <v>1.0243015474964381</v>
      </c>
      <c r="AK53" s="313">
        <f t="shared" ref="AK53:AK71" si="42">EXP(AF53/100)</f>
        <v>1.0202146858713488</v>
      </c>
      <c r="AL53" s="313">
        <f t="shared" ref="AL53:AL71" si="43">EXP(AG53/100)</f>
        <v>1.0249558058200725</v>
      </c>
    </row>
    <row r="54" spans="1:38" x14ac:dyDescent="0.2">
      <c r="A54" s="105"/>
      <c r="B54" s="102" t="str">
        <f t="shared" ref="B54:B71" si="44">$B$52</f>
        <v>Control</v>
      </c>
      <c r="C54" s="103" t="s">
        <v>62</v>
      </c>
      <c r="D54" s="10">
        <v>9.8000000000000007</v>
      </c>
      <c r="E54" s="56">
        <f t="shared" si="35"/>
        <v>400.20000000000005</v>
      </c>
      <c r="F54" s="10">
        <v>405.3</v>
      </c>
      <c r="G54" s="10">
        <v>395.1</v>
      </c>
      <c r="H54" s="10">
        <v>399.7</v>
      </c>
      <c r="I54" s="10">
        <v>397.1</v>
      </c>
      <c r="J54" s="10">
        <v>387.5</v>
      </c>
      <c r="K54" s="315" t="str">
        <f t="shared" si="17"/>
        <v/>
      </c>
      <c r="L54" s="316"/>
      <c r="M54" s="57">
        <f t="shared" si="18"/>
        <v>-0.50000000000005684</v>
      </c>
      <c r="N54" s="57">
        <f t="shared" si="36"/>
        <v>-0.50000000000005684</v>
      </c>
      <c r="O54" s="57">
        <f t="shared" si="19"/>
        <v>-0.55742748313898949</v>
      </c>
      <c r="P54" s="57">
        <f t="shared" si="20"/>
        <v>-0.46858794661080133</v>
      </c>
      <c r="Q54" s="315" t="str">
        <f t="shared" si="21"/>
        <v/>
      </c>
      <c r="R54" s="105"/>
      <c r="S54" s="30" t="str">
        <f t="shared" si="22"/>
        <v>Control</v>
      </c>
      <c r="T54" s="30" t="str">
        <f t="shared" si="23"/>
        <v>Ashley</v>
      </c>
      <c r="U54" s="56">
        <f t="shared" si="37"/>
        <v>9.8000000000000007</v>
      </c>
      <c r="V54" s="56">
        <f t="shared" si="38"/>
        <v>599.18832155258042</v>
      </c>
      <c r="W54" s="57">
        <f t="shared" si="24"/>
        <v>600.46275336342637</v>
      </c>
      <c r="X54" s="57">
        <f t="shared" si="25"/>
        <v>597.91388974173447</v>
      </c>
      <c r="Y54" s="57">
        <f t="shared" si="26"/>
        <v>599.07142657172778</v>
      </c>
      <c r="Z54" s="57">
        <f t="shared" si="27"/>
        <v>598.41881381372059</v>
      </c>
      <c r="AA54" s="57">
        <f t="shared" si="28"/>
        <v>595.97158487934018</v>
      </c>
      <c r="AB54" s="320" t="str">
        <f t="shared" si="29"/>
        <v/>
      </c>
      <c r="AC54" s="321"/>
      <c r="AD54" s="57">
        <f t="shared" si="30"/>
        <v>-0.11689498085263494</v>
      </c>
      <c r="AE54" s="57">
        <f t="shared" si="39"/>
        <v>-0.11689498085263494</v>
      </c>
      <c r="AF54" s="57">
        <f t="shared" si="31"/>
        <v>-0.12583567916713437</v>
      </c>
      <c r="AG54" s="57">
        <f t="shared" si="32"/>
        <v>-0.10819164123601638</v>
      </c>
      <c r="AH54" s="315" t="str">
        <f t="shared" si="33"/>
        <v/>
      </c>
      <c r="AI54" s="313">
        <f t="shared" si="40"/>
        <v>0.99883173314716156</v>
      </c>
      <c r="AJ54" s="313">
        <f t="shared" si="41"/>
        <v>0.99883173314716156</v>
      </c>
      <c r="AK54" s="313">
        <f t="shared" si="42"/>
        <v>0.99874243460724732</v>
      </c>
      <c r="AL54" s="313">
        <f t="shared" si="43"/>
        <v>0.9989186686481869</v>
      </c>
    </row>
    <row r="55" spans="1:38" x14ac:dyDescent="0.2">
      <c r="A55" s="105"/>
      <c r="B55" s="102" t="str">
        <f t="shared" si="44"/>
        <v>Control</v>
      </c>
      <c r="C55" s="103" t="s">
        <v>63</v>
      </c>
      <c r="D55" s="10">
        <v>5.2</v>
      </c>
      <c r="E55" s="56">
        <f t="shared" si="35"/>
        <v>404.15</v>
      </c>
      <c r="F55" s="10">
        <v>398</v>
      </c>
      <c r="G55" s="10">
        <v>410.3</v>
      </c>
      <c r="H55" s="10">
        <v>404.7</v>
      </c>
      <c r="I55" s="10">
        <v>387.6</v>
      </c>
      <c r="J55" s="10">
        <v>410.6</v>
      </c>
      <c r="K55" s="315" t="str">
        <f t="shared" si="17"/>
        <v/>
      </c>
      <c r="L55" s="316"/>
      <c r="M55" s="57">
        <f t="shared" si="18"/>
        <v>0.55000000000001137</v>
      </c>
      <c r="N55" s="57">
        <f t="shared" si="36"/>
        <v>0.55000000000001137</v>
      </c>
      <c r="O55" s="57">
        <f t="shared" si="19"/>
        <v>1.3650285107025706</v>
      </c>
      <c r="P55" s="57">
        <f t="shared" si="20"/>
        <v>9.1528629315457133E-3</v>
      </c>
      <c r="Q55" s="315" t="str">
        <f t="shared" si="21"/>
        <v/>
      </c>
      <c r="R55" s="105"/>
      <c r="S55" s="30" t="str">
        <f t="shared" si="22"/>
        <v>Control</v>
      </c>
      <c r="T55" s="30" t="str">
        <f t="shared" si="23"/>
        <v>Bernie</v>
      </c>
      <c r="U55" s="56">
        <f t="shared" si="37"/>
        <v>5.2</v>
      </c>
      <c r="V55" s="56">
        <f t="shared" si="38"/>
        <v>600.16703023662899</v>
      </c>
      <c r="W55" s="57">
        <f t="shared" si="24"/>
        <v>598.64520052844375</v>
      </c>
      <c r="X55" s="57">
        <f t="shared" si="25"/>
        <v>601.68885994481411</v>
      </c>
      <c r="Y55" s="57">
        <f t="shared" si="26"/>
        <v>600.31460518818199</v>
      </c>
      <c r="Z55" s="57">
        <f t="shared" si="27"/>
        <v>595.99738800166108</v>
      </c>
      <c r="AA55" s="57">
        <f t="shared" si="28"/>
        <v>601.76195045848328</v>
      </c>
      <c r="AB55" s="320" t="str">
        <f t="shared" si="29"/>
        <v/>
      </c>
      <c r="AC55" s="321"/>
      <c r="AD55" s="57">
        <f t="shared" si="30"/>
        <v>0.14757495155299694</v>
      </c>
      <c r="AE55" s="57">
        <f t="shared" si="39"/>
        <v>0.14757495155299694</v>
      </c>
      <c r="AF55" s="57">
        <f t="shared" si="31"/>
        <v>0.35173265798112563</v>
      </c>
      <c r="AG55" s="57">
        <f t="shared" si="32"/>
        <v>-2.2775988757120225E-3</v>
      </c>
      <c r="AH55" s="315" t="str">
        <f t="shared" si="33"/>
        <v/>
      </c>
      <c r="AI55" s="313">
        <f t="shared" si="40"/>
        <v>1.0014768389697009</v>
      </c>
      <c r="AJ55" s="313">
        <f t="shared" si="41"/>
        <v>1.0014768389697009</v>
      </c>
      <c r="AK55" s="313">
        <f t="shared" si="42"/>
        <v>1.0035235196318124</v>
      </c>
      <c r="AL55" s="313">
        <f t="shared" si="43"/>
        <v>0.99997722427061375</v>
      </c>
    </row>
    <row r="56" spans="1:38" x14ac:dyDescent="0.2">
      <c r="A56" s="105"/>
      <c r="B56" s="102" t="str">
        <f t="shared" si="44"/>
        <v>Control</v>
      </c>
      <c r="C56" s="103" t="s">
        <v>64</v>
      </c>
      <c r="D56" s="10">
        <v>8.4</v>
      </c>
      <c r="E56" s="56">
        <f t="shared" si="35"/>
        <v>406.8</v>
      </c>
      <c r="F56" s="10">
        <v>407.1</v>
      </c>
      <c r="G56" s="10">
        <v>406.5</v>
      </c>
      <c r="H56" s="10">
        <v>414</v>
      </c>
      <c r="I56" s="10">
        <v>402.4</v>
      </c>
      <c r="J56" s="10">
        <v>404.1</v>
      </c>
      <c r="K56" s="315" t="str">
        <f t="shared" si="17"/>
        <v/>
      </c>
      <c r="L56" s="316"/>
      <c r="M56" s="57">
        <f t="shared" si="18"/>
        <v>7.1999999999999886</v>
      </c>
      <c r="N56" s="57">
        <f t="shared" si="36"/>
        <v>7.1999999999999886</v>
      </c>
      <c r="O56" s="57">
        <f t="shared" si="19"/>
        <v>8.6003470888493894</v>
      </c>
      <c r="P56" s="57">
        <f t="shared" si="20"/>
        <v>7.057246212815155</v>
      </c>
      <c r="Q56" s="315" t="str">
        <f t="shared" si="21"/>
        <v/>
      </c>
      <c r="R56" s="105"/>
      <c r="S56" s="30" t="str">
        <f t="shared" si="22"/>
        <v>Control</v>
      </c>
      <c r="T56" s="30" t="str">
        <f t="shared" si="23"/>
        <v>Casey</v>
      </c>
      <c r="U56" s="56">
        <f t="shared" si="37"/>
        <v>8.4</v>
      </c>
      <c r="V56" s="56">
        <f t="shared" si="38"/>
        <v>600.83213922483992</v>
      </c>
      <c r="W56" s="57">
        <f t="shared" si="24"/>
        <v>600.90588555089334</v>
      </c>
      <c r="X56" s="57">
        <f t="shared" si="25"/>
        <v>600.75839289878661</v>
      </c>
      <c r="Y56" s="57">
        <f t="shared" si="26"/>
        <v>602.58659738253141</v>
      </c>
      <c r="Z56" s="57">
        <f t="shared" si="27"/>
        <v>599.74466187855296</v>
      </c>
      <c r="AA56" s="57">
        <f t="shared" si="28"/>
        <v>600.16623720844279</v>
      </c>
      <c r="AB56" s="320" t="str">
        <f t="shared" si="29"/>
        <v/>
      </c>
      <c r="AC56" s="321"/>
      <c r="AD56" s="57">
        <f t="shared" si="30"/>
        <v>1.7544581576914879</v>
      </c>
      <c r="AE56" s="57">
        <f t="shared" si="39"/>
        <v>1.7544581576914879</v>
      </c>
      <c r="AF56" s="57">
        <f t="shared" si="31"/>
        <v>2.1034328731824474</v>
      </c>
      <c r="AG56" s="57">
        <f t="shared" si="32"/>
        <v>1.7149053568595285</v>
      </c>
      <c r="AH56" s="315" t="str">
        <f t="shared" si="33"/>
        <v/>
      </c>
      <c r="AI56" s="313">
        <f t="shared" si="40"/>
        <v>1.0176993917831405</v>
      </c>
      <c r="AJ56" s="313">
        <f t="shared" si="41"/>
        <v>1.0176993917831405</v>
      </c>
      <c r="AK56" s="313">
        <f t="shared" si="42"/>
        <v>1.0212571094972152</v>
      </c>
      <c r="AL56" s="313">
        <f t="shared" si="43"/>
        <v>1.0172969427648164</v>
      </c>
    </row>
    <row r="57" spans="1:38" x14ac:dyDescent="0.2">
      <c r="A57" s="105"/>
      <c r="B57" s="102" t="str">
        <f t="shared" si="44"/>
        <v>Control</v>
      </c>
      <c r="C57" s="103" t="s">
        <v>22</v>
      </c>
      <c r="D57" s="10">
        <v>11</v>
      </c>
      <c r="E57" s="56">
        <f t="shared" si="35"/>
        <v>394.95</v>
      </c>
      <c r="F57" s="10">
        <v>395.9</v>
      </c>
      <c r="G57" s="10">
        <v>394</v>
      </c>
      <c r="H57" s="10">
        <v>405.1</v>
      </c>
      <c r="I57" s="10">
        <v>403.5</v>
      </c>
      <c r="J57" s="10">
        <v>401.7</v>
      </c>
      <c r="K57" s="315" t="str">
        <f t="shared" si="17"/>
        <v/>
      </c>
      <c r="L57" s="316"/>
      <c r="M57" s="57">
        <f t="shared" si="18"/>
        <v>10.150000000000034</v>
      </c>
      <c r="N57" s="57">
        <f t="shared" si="36"/>
        <v>10.150000000000034</v>
      </c>
      <c r="O57" s="57">
        <f t="shared" si="19"/>
        <v>8.9329791073249094</v>
      </c>
      <c r="P57" s="57">
        <f t="shared" si="20"/>
        <v>10.330697059595652</v>
      </c>
      <c r="Q57" s="315" t="str">
        <f t="shared" si="21"/>
        <v/>
      </c>
      <c r="R57" s="105"/>
      <c r="S57" s="30" t="str">
        <f t="shared" si="22"/>
        <v>Control</v>
      </c>
      <c r="T57" s="30" t="str">
        <f t="shared" si="23"/>
        <v>Chris</v>
      </c>
      <c r="U57" s="56">
        <f t="shared" si="37"/>
        <v>11</v>
      </c>
      <c r="V57" s="56">
        <f t="shared" si="38"/>
        <v>597.87562817050093</v>
      </c>
      <c r="W57" s="57">
        <f t="shared" si="24"/>
        <v>598.1161654112085</v>
      </c>
      <c r="X57" s="57">
        <f t="shared" si="25"/>
        <v>597.63509092979336</v>
      </c>
      <c r="Y57" s="57">
        <f t="shared" si="26"/>
        <v>600.41339502086441</v>
      </c>
      <c r="Z57" s="57">
        <f t="shared" si="27"/>
        <v>600.01764877100038</v>
      </c>
      <c r="AA57" s="57">
        <f t="shared" si="28"/>
        <v>599.57055413652358</v>
      </c>
      <c r="AB57" s="320" t="str">
        <f t="shared" si="29"/>
        <v/>
      </c>
      <c r="AC57" s="321"/>
      <c r="AD57" s="57">
        <f t="shared" si="30"/>
        <v>2.5377668503634823</v>
      </c>
      <c r="AE57" s="57">
        <f t="shared" si="39"/>
        <v>2.5377668503634823</v>
      </c>
      <c r="AF57" s="57">
        <f t="shared" si="31"/>
        <v>2.2430078383908385</v>
      </c>
      <c r="AG57" s="57">
        <f t="shared" si="32"/>
        <v>2.5878325960788819</v>
      </c>
      <c r="AH57" s="315" t="str">
        <f t="shared" si="33"/>
        <v/>
      </c>
      <c r="AI57" s="313">
        <f t="shared" si="40"/>
        <v>1.0257024228830991</v>
      </c>
      <c r="AJ57" s="313">
        <f t="shared" si="41"/>
        <v>1.0257024228830991</v>
      </c>
      <c r="AK57" s="313">
        <f t="shared" si="42"/>
        <v>1.0226835239796743</v>
      </c>
      <c r="AL57" s="313">
        <f t="shared" si="43"/>
        <v>1.0262160770215945</v>
      </c>
    </row>
    <row r="58" spans="1:38" x14ac:dyDescent="0.2">
      <c r="A58" s="105"/>
      <c r="B58" s="102" t="str">
        <f t="shared" si="44"/>
        <v>Control</v>
      </c>
      <c r="C58" s="103" t="s">
        <v>65</v>
      </c>
      <c r="D58" s="10">
        <v>5.6</v>
      </c>
      <c r="E58" s="56">
        <f t="shared" si="35"/>
        <v>403.1</v>
      </c>
      <c r="F58" s="10">
        <v>396.2</v>
      </c>
      <c r="G58" s="10">
        <v>410</v>
      </c>
      <c r="H58" s="10">
        <v>405.4</v>
      </c>
      <c r="I58" s="10">
        <v>401.9</v>
      </c>
      <c r="J58" s="10">
        <v>410.1</v>
      </c>
      <c r="K58" s="315" t="str">
        <f t="shared" si="17"/>
        <v/>
      </c>
      <c r="L58" s="316"/>
      <c r="M58" s="57">
        <f t="shared" si="18"/>
        <v>2.2999999999999545</v>
      </c>
      <c r="N58" s="57">
        <f t="shared" si="36"/>
        <v>2.2999999999999545</v>
      </c>
      <c r="O58" s="57">
        <f t="shared" si="19"/>
        <v>2.8831098287952877</v>
      </c>
      <c r="P58" s="57">
        <f t="shared" si="20"/>
        <v>1.8089145316669428</v>
      </c>
      <c r="Q58" s="315" t="str">
        <f t="shared" si="21"/>
        <v/>
      </c>
      <c r="R58" s="105"/>
      <c r="S58" s="30" t="str">
        <f t="shared" si="22"/>
        <v>Control</v>
      </c>
      <c r="T58" s="30" t="str">
        <f t="shared" si="23"/>
        <v>Corey</v>
      </c>
      <c r="U58" s="56">
        <f t="shared" si="37"/>
        <v>5.6</v>
      </c>
      <c r="V58" s="56">
        <f t="shared" si="38"/>
        <v>599.9038146981402</v>
      </c>
      <c r="W58" s="57">
        <f t="shared" si="24"/>
        <v>598.19191342644501</v>
      </c>
      <c r="X58" s="57">
        <f t="shared" si="25"/>
        <v>601.61571596983538</v>
      </c>
      <c r="Y58" s="57">
        <f t="shared" si="26"/>
        <v>600.4874234017899</v>
      </c>
      <c r="Z58" s="57">
        <f t="shared" si="27"/>
        <v>599.6203301455156</v>
      </c>
      <c r="AA58" s="57">
        <f t="shared" si="28"/>
        <v>601.64010323980131</v>
      </c>
      <c r="AB58" s="320" t="str">
        <f t="shared" si="29"/>
        <v/>
      </c>
      <c r="AC58" s="321"/>
      <c r="AD58" s="57">
        <f t="shared" si="30"/>
        <v>0.58360870364970197</v>
      </c>
      <c r="AE58" s="57">
        <f t="shared" si="39"/>
        <v>0.58360870364970197</v>
      </c>
      <c r="AF58" s="57">
        <f t="shared" si="31"/>
        <v>0.7304553712880183</v>
      </c>
      <c r="AG58" s="57">
        <f t="shared" si="32"/>
        <v>0.44754362192058667</v>
      </c>
      <c r="AH58" s="315" t="str">
        <f t="shared" si="33"/>
        <v/>
      </c>
      <c r="AI58" s="313">
        <f t="shared" si="40"/>
        <v>1.0058531501702739</v>
      </c>
      <c r="AJ58" s="313">
        <f t="shared" si="41"/>
        <v>1.0058531501702739</v>
      </c>
      <c r="AK58" s="313">
        <f t="shared" si="42"/>
        <v>1.0073312970417234</v>
      </c>
      <c r="AL58" s="313">
        <f t="shared" si="43"/>
        <v>1.0044854659407596</v>
      </c>
    </row>
    <row r="59" spans="1:38" x14ac:dyDescent="0.2">
      <c r="A59" s="105"/>
      <c r="B59" s="102" t="str">
        <f t="shared" si="44"/>
        <v>Control</v>
      </c>
      <c r="C59" s="103" t="s">
        <v>23</v>
      </c>
      <c r="D59" s="10">
        <v>12.3</v>
      </c>
      <c r="E59" s="56">
        <f t="shared" si="35"/>
        <v>398.35</v>
      </c>
      <c r="F59" s="10">
        <v>400.3</v>
      </c>
      <c r="G59" s="10">
        <v>396.4</v>
      </c>
      <c r="H59" s="10">
        <v>402.7</v>
      </c>
      <c r="I59" s="10">
        <v>396.7</v>
      </c>
      <c r="J59" s="10">
        <v>405.2</v>
      </c>
      <c r="K59" s="315" t="str">
        <f t="shared" si="17"/>
        <v/>
      </c>
      <c r="L59" s="316"/>
      <c r="M59" s="57">
        <f t="shared" si="18"/>
        <v>4.3499999999999659</v>
      </c>
      <c r="N59" s="57">
        <f t="shared" si="36"/>
        <v>4.3499999999999659</v>
      </c>
      <c r="O59" s="57">
        <f t="shared" si="19"/>
        <v>3.8839538868339933</v>
      </c>
      <c r="P59" s="57">
        <f t="shared" si="20"/>
        <v>4.6924224829858092</v>
      </c>
      <c r="Q59" s="315" t="str">
        <f t="shared" si="21"/>
        <v/>
      </c>
      <c r="R59" s="105"/>
      <c r="S59" s="30" t="str">
        <f t="shared" si="22"/>
        <v>Control</v>
      </c>
      <c r="T59" s="30" t="str">
        <f t="shared" si="23"/>
        <v>Courtney</v>
      </c>
      <c r="U59" s="56">
        <f t="shared" si="37"/>
        <v>12.3</v>
      </c>
      <c r="V59" s="56">
        <f t="shared" si="38"/>
        <v>598.73190342271801</v>
      </c>
      <c r="W59" s="57">
        <f t="shared" si="24"/>
        <v>599.22142659985275</v>
      </c>
      <c r="X59" s="57">
        <f t="shared" si="25"/>
        <v>598.24238024558326</v>
      </c>
      <c r="Y59" s="57">
        <f t="shared" si="26"/>
        <v>599.81918678574084</v>
      </c>
      <c r="Z59" s="57">
        <f t="shared" si="27"/>
        <v>598.31803275202844</v>
      </c>
      <c r="AA59" s="57">
        <f t="shared" si="28"/>
        <v>600.43807723745283</v>
      </c>
      <c r="AB59" s="320" t="str">
        <f t="shared" si="29"/>
        <v/>
      </c>
      <c r="AC59" s="321"/>
      <c r="AD59" s="57">
        <f t="shared" si="30"/>
        <v>1.0872833630228342</v>
      </c>
      <c r="AE59" s="57">
        <f t="shared" si="39"/>
        <v>1.0872833630228342</v>
      </c>
      <c r="AF59" s="57">
        <f t="shared" si="31"/>
        <v>0.97896480390612373</v>
      </c>
      <c r="AG59" s="57">
        <f t="shared" si="32"/>
        <v>1.1821583820119135</v>
      </c>
      <c r="AH59" s="315" t="str">
        <f t="shared" si="33"/>
        <v/>
      </c>
      <c r="AI59" s="313">
        <f t="shared" si="40"/>
        <v>1.0109321576977568</v>
      </c>
      <c r="AJ59" s="313">
        <f t="shared" si="41"/>
        <v>1.0109321576977568</v>
      </c>
      <c r="AK59" s="313">
        <f t="shared" si="42"/>
        <v>1.0098377233956319</v>
      </c>
      <c r="AL59" s="313">
        <f t="shared" si="43"/>
        <v>1.0118917349018881</v>
      </c>
    </row>
    <row r="60" spans="1:38" x14ac:dyDescent="0.2">
      <c r="A60" s="105"/>
      <c r="B60" s="102" t="str">
        <f t="shared" si="44"/>
        <v>Control</v>
      </c>
      <c r="C60" s="103" t="s">
        <v>66</v>
      </c>
      <c r="D60" s="10">
        <v>7.2</v>
      </c>
      <c r="E60" s="56">
        <f t="shared" si="35"/>
        <v>396.6</v>
      </c>
      <c r="F60" s="10">
        <v>390.3</v>
      </c>
      <c r="G60" s="10">
        <v>402.9</v>
      </c>
      <c r="H60" s="10">
        <v>411.8</v>
      </c>
      <c r="I60" s="10">
        <v>413.9</v>
      </c>
      <c r="J60" s="10">
        <v>404.5</v>
      </c>
      <c r="K60" s="315" t="str">
        <f t="shared" si="17"/>
        <v/>
      </c>
      <c r="L60" s="316"/>
      <c r="M60" s="57">
        <f t="shared" si="18"/>
        <v>15.199999999999989</v>
      </c>
      <c r="N60" s="57">
        <f t="shared" si="36"/>
        <v>15.199999999999989</v>
      </c>
      <c r="O60" s="57">
        <f t="shared" si="19"/>
        <v>14.347422750321956</v>
      </c>
      <c r="P60" s="57">
        <f t="shared" si="20"/>
        <v>14.907961206608793</v>
      </c>
      <c r="Q60" s="315" t="str">
        <f t="shared" si="21"/>
        <v/>
      </c>
      <c r="R60" s="105"/>
      <c r="S60" s="30" t="str">
        <f t="shared" si="22"/>
        <v>Control</v>
      </c>
      <c r="T60" s="30" t="str">
        <f t="shared" si="23"/>
        <v>Devon</v>
      </c>
      <c r="U60" s="56">
        <f t="shared" si="37"/>
        <v>7.2</v>
      </c>
      <c r="V60" s="56">
        <f t="shared" si="38"/>
        <v>598.28020331919356</v>
      </c>
      <c r="W60" s="57">
        <f t="shared" si="24"/>
        <v>596.69156741865686</v>
      </c>
      <c r="X60" s="57">
        <f t="shared" si="25"/>
        <v>599.86883921973015</v>
      </c>
      <c r="Y60" s="57">
        <f t="shared" si="26"/>
        <v>602.05377945936891</v>
      </c>
      <c r="Z60" s="57">
        <f t="shared" si="27"/>
        <v>602.56243987546873</v>
      </c>
      <c r="AA60" s="57">
        <f t="shared" si="28"/>
        <v>600.26517364985466</v>
      </c>
      <c r="AB60" s="320" t="str">
        <f t="shared" si="29"/>
        <v/>
      </c>
      <c r="AC60" s="321"/>
      <c r="AD60" s="57">
        <f t="shared" si="30"/>
        <v>3.7735761401753507</v>
      </c>
      <c r="AE60" s="57">
        <f t="shared" si="39"/>
        <v>3.7735761401753507</v>
      </c>
      <c r="AF60" s="57">
        <f t="shared" si="31"/>
        <v>3.5669069961992519</v>
      </c>
      <c r="AG60" s="57">
        <f t="shared" si="32"/>
        <v>3.6926609332446101</v>
      </c>
      <c r="AH60" s="315" t="str">
        <f t="shared" si="33"/>
        <v/>
      </c>
      <c r="AI60" s="313">
        <f t="shared" si="40"/>
        <v>1.0384567962535385</v>
      </c>
      <c r="AJ60" s="313">
        <f t="shared" si="41"/>
        <v>1.0384567962535385</v>
      </c>
      <c r="AK60" s="313">
        <f t="shared" si="42"/>
        <v>1.0363128426905044</v>
      </c>
      <c r="AL60" s="313">
        <f t="shared" si="43"/>
        <v>1.0376168666491794</v>
      </c>
    </row>
    <row r="61" spans="1:38" x14ac:dyDescent="0.2">
      <c r="A61" s="105"/>
      <c r="B61" s="102" t="str">
        <f t="shared" si="44"/>
        <v>Control</v>
      </c>
      <c r="C61" s="103" t="s">
        <v>24</v>
      </c>
      <c r="D61" s="10">
        <v>14.3</v>
      </c>
      <c r="E61" s="56">
        <f t="shared" si="35"/>
        <v>413.1</v>
      </c>
      <c r="F61" s="10">
        <v>409.9</v>
      </c>
      <c r="G61" s="10">
        <v>416.3</v>
      </c>
      <c r="H61" s="10">
        <v>420.3</v>
      </c>
      <c r="I61" s="10">
        <v>403.6</v>
      </c>
      <c r="J61" s="10">
        <v>413.3</v>
      </c>
      <c r="K61" s="315" t="str">
        <f t="shared" si="17"/>
        <v/>
      </c>
      <c r="L61" s="316"/>
      <c r="M61" s="57">
        <f t="shared" si="18"/>
        <v>7.1999999999999886</v>
      </c>
      <c r="N61" s="57">
        <f t="shared" si="36"/>
        <v>7.1999999999999886</v>
      </c>
      <c r="O61" s="57">
        <f t="shared" si="19"/>
        <v>9.9918591802928081</v>
      </c>
      <c r="P61" s="57">
        <f t="shared" si="20"/>
        <v>7.7912308266631021</v>
      </c>
      <c r="Q61" s="315" t="str">
        <f t="shared" si="21"/>
        <v/>
      </c>
      <c r="R61" s="105"/>
      <c r="S61" s="30" t="str">
        <f t="shared" si="22"/>
        <v>Control</v>
      </c>
      <c r="T61" s="30" t="str">
        <f t="shared" si="23"/>
        <v>Drew</v>
      </c>
      <c r="U61" s="56">
        <f t="shared" si="37"/>
        <v>14.3</v>
      </c>
      <c r="V61" s="56">
        <f t="shared" si="38"/>
        <v>602.36596908556112</v>
      </c>
      <c r="W61" s="57">
        <f t="shared" si="24"/>
        <v>601.59132275102922</v>
      </c>
      <c r="X61" s="57">
        <f t="shared" si="25"/>
        <v>603.14061542009301</v>
      </c>
      <c r="Y61" s="57">
        <f t="shared" si="26"/>
        <v>604.09687420110708</v>
      </c>
      <c r="Z61" s="57">
        <f t="shared" si="27"/>
        <v>600.04242884794542</v>
      </c>
      <c r="AA61" s="57">
        <f t="shared" si="28"/>
        <v>602.41737215176863</v>
      </c>
      <c r="AB61" s="320" t="str">
        <f t="shared" si="29"/>
        <v/>
      </c>
      <c r="AC61" s="321"/>
      <c r="AD61" s="57">
        <f t="shared" si="30"/>
        <v>1.7309051155459656</v>
      </c>
      <c r="AE61" s="57">
        <f t="shared" si="39"/>
        <v>1.7309051155459656</v>
      </c>
      <c r="AF61" s="57">
        <f t="shared" si="31"/>
        <v>2.4138471307999199</v>
      </c>
      <c r="AG61" s="57">
        <f t="shared" si="32"/>
        <v>1.8947174780330132</v>
      </c>
      <c r="AH61" s="315" t="str">
        <f t="shared" si="33"/>
        <v/>
      </c>
      <c r="AI61" s="313">
        <f t="shared" si="40"/>
        <v>1.0174597208424858</v>
      </c>
      <c r="AJ61" s="313">
        <f t="shared" si="41"/>
        <v>1.0174597208424858</v>
      </c>
      <c r="AK61" s="313">
        <f t="shared" si="42"/>
        <v>1.0244321625311905</v>
      </c>
      <c r="AL61" s="313">
        <f t="shared" si="43"/>
        <v>1.0191278115449265</v>
      </c>
    </row>
    <row r="62" spans="1:38" x14ac:dyDescent="0.2">
      <c r="A62" s="105"/>
      <c r="B62" s="102" t="str">
        <f t="shared" si="44"/>
        <v>Control</v>
      </c>
      <c r="C62" s="103" t="s">
        <v>36</v>
      </c>
      <c r="D62" s="10">
        <v>5.7</v>
      </c>
      <c r="E62" s="56">
        <f t="shared" si="35"/>
        <v>404.35</v>
      </c>
      <c r="F62" s="10">
        <v>400.8</v>
      </c>
      <c r="G62" s="10">
        <v>407.9</v>
      </c>
      <c r="H62" s="10">
        <v>410.5</v>
      </c>
      <c r="I62" s="10">
        <v>411.7</v>
      </c>
      <c r="J62" s="10">
        <v>408.3</v>
      </c>
      <c r="K62" s="315" t="str">
        <f t="shared" si="17"/>
        <v/>
      </c>
      <c r="L62" s="316"/>
      <c r="M62" s="57">
        <f t="shared" si="18"/>
        <v>6.1499999999999773</v>
      </c>
      <c r="N62" s="57">
        <f t="shared" si="36"/>
        <v>6.1499999999999773</v>
      </c>
      <c r="O62" s="57">
        <f t="shared" si="19"/>
        <v>7.0092034977324964</v>
      </c>
      <c r="P62" s="57">
        <f t="shared" si="20"/>
        <v>5.671354948850829</v>
      </c>
      <c r="Q62" s="315" t="str">
        <f t="shared" si="21"/>
        <v/>
      </c>
      <c r="R62" s="105"/>
      <c r="S62" s="30" t="str">
        <f t="shared" si="22"/>
        <v>Control</v>
      </c>
      <c r="T62" s="30" t="str">
        <f t="shared" si="23"/>
        <v>Dylan</v>
      </c>
      <c r="U62" s="56">
        <f t="shared" si="37"/>
        <v>5.7</v>
      </c>
      <c r="V62" s="56">
        <f t="shared" si="38"/>
        <v>600.22422980470833</v>
      </c>
      <c r="W62" s="57">
        <f t="shared" si="24"/>
        <v>599.34625497706543</v>
      </c>
      <c r="X62" s="57">
        <f t="shared" si="25"/>
        <v>601.10220463235123</v>
      </c>
      <c r="Y62" s="57">
        <f t="shared" si="26"/>
        <v>601.73759288924828</v>
      </c>
      <c r="Z62" s="57">
        <f t="shared" si="27"/>
        <v>602.02949287758588</v>
      </c>
      <c r="AA62" s="57">
        <f t="shared" si="28"/>
        <v>601.20021983255299</v>
      </c>
      <c r="AB62" s="320" t="str">
        <f t="shared" si="29"/>
        <v/>
      </c>
      <c r="AC62" s="321"/>
      <c r="AD62" s="57">
        <f t="shared" si="30"/>
        <v>1.5133630845399466</v>
      </c>
      <c r="AE62" s="57">
        <f t="shared" si="39"/>
        <v>1.5133630845399466</v>
      </c>
      <c r="AF62" s="57">
        <f t="shared" si="31"/>
        <v>1.7299750962259512</v>
      </c>
      <c r="AG62" s="57">
        <f t="shared" si="32"/>
        <v>1.3807448699857297</v>
      </c>
      <c r="AH62" s="315" t="str">
        <f t="shared" si="33"/>
        <v/>
      </c>
      <c r="AI62" s="313">
        <f t="shared" si="40"/>
        <v>1.0152487240966632</v>
      </c>
      <c r="AJ62" s="313">
        <f t="shared" si="41"/>
        <v>1.0152487240966632</v>
      </c>
      <c r="AK62" s="313">
        <f t="shared" si="42"/>
        <v>1.0174502583145104</v>
      </c>
      <c r="AL62" s="313">
        <f t="shared" si="43"/>
        <v>1.0139032117599034</v>
      </c>
    </row>
    <row r="63" spans="1:38" x14ac:dyDescent="0.2">
      <c r="A63" s="105"/>
      <c r="B63" s="102" t="str">
        <f t="shared" si="44"/>
        <v>Control</v>
      </c>
      <c r="C63" s="103" t="s">
        <v>67</v>
      </c>
      <c r="D63" s="10">
        <v>13.9</v>
      </c>
      <c r="E63" s="56">
        <f t="shared" si="35"/>
        <v>388.85</v>
      </c>
      <c r="F63" s="10">
        <v>383.8</v>
      </c>
      <c r="G63" s="10">
        <v>393.9</v>
      </c>
      <c r="H63" s="10">
        <v>391.9</v>
      </c>
      <c r="I63" s="10">
        <v>395.3</v>
      </c>
      <c r="J63" s="10">
        <v>382</v>
      </c>
      <c r="K63" s="315" t="str">
        <f t="shared" si="17"/>
        <v/>
      </c>
      <c r="L63" s="316"/>
      <c r="M63" s="57">
        <f t="shared" si="18"/>
        <v>3.0499999999999545</v>
      </c>
      <c r="N63" s="57">
        <f t="shared" si="36"/>
        <v>3.0499999999999545</v>
      </c>
      <c r="O63" s="57">
        <f t="shared" si="19"/>
        <v>0.48564200291137016</v>
      </c>
      <c r="P63" s="57">
        <f t="shared" si="20"/>
        <v>3.5914691579276137</v>
      </c>
      <c r="Q63" s="315" t="str">
        <f t="shared" si="21"/>
        <v/>
      </c>
      <c r="R63" s="105"/>
      <c r="S63" s="30" t="str">
        <f t="shared" si="22"/>
        <v>Control</v>
      </c>
      <c r="T63" s="30" t="str">
        <f t="shared" si="23"/>
        <v>Frances</v>
      </c>
      <c r="U63" s="56">
        <f t="shared" si="37"/>
        <v>13.9</v>
      </c>
      <c r="V63" s="56">
        <f t="shared" si="38"/>
        <v>596.31093267752294</v>
      </c>
      <c r="W63" s="57">
        <f t="shared" si="24"/>
        <v>595.01215835735991</v>
      </c>
      <c r="X63" s="57">
        <f t="shared" si="25"/>
        <v>597.60970699768598</v>
      </c>
      <c r="Y63" s="57">
        <f t="shared" si="26"/>
        <v>597.10067052055854</v>
      </c>
      <c r="Z63" s="57">
        <f t="shared" si="27"/>
        <v>597.96449703026394</v>
      </c>
      <c r="AA63" s="57">
        <f t="shared" si="28"/>
        <v>594.54206086065756</v>
      </c>
      <c r="AB63" s="320" t="str">
        <f t="shared" si="29"/>
        <v/>
      </c>
      <c r="AC63" s="321"/>
      <c r="AD63" s="57">
        <f t="shared" si="30"/>
        <v>0.78973784303559569</v>
      </c>
      <c r="AE63" s="57">
        <f t="shared" si="39"/>
        <v>0.78973784303559569</v>
      </c>
      <c r="AF63" s="57">
        <f t="shared" si="31"/>
        <v>0.15429102590085664</v>
      </c>
      <c r="AG63" s="57">
        <f t="shared" si="32"/>
        <v>0.93976273682304967</v>
      </c>
      <c r="AH63" s="315" t="str">
        <f t="shared" si="33"/>
        <v/>
      </c>
      <c r="AI63" s="313">
        <f t="shared" si="40"/>
        <v>1.0079286449771128</v>
      </c>
      <c r="AJ63" s="313">
        <f t="shared" si="41"/>
        <v>1.0079286449771128</v>
      </c>
      <c r="AK63" s="313">
        <f t="shared" si="42"/>
        <v>1.0015441011574466</v>
      </c>
      <c r="AL63" s="313">
        <f t="shared" si="43"/>
        <v>1.0094419237197723</v>
      </c>
    </row>
    <row r="64" spans="1:38" x14ac:dyDescent="0.2">
      <c r="A64" s="105"/>
      <c r="B64" s="102" t="str">
        <f t="shared" si="44"/>
        <v>Control</v>
      </c>
      <c r="C64" s="103" t="s">
        <v>68</v>
      </c>
      <c r="D64" s="10">
        <v>5.9</v>
      </c>
      <c r="E64" s="56">
        <f t="shared" si="35"/>
        <v>408.4</v>
      </c>
      <c r="F64" s="10">
        <v>409.2</v>
      </c>
      <c r="G64" s="10">
        <v>407.6</v>
      </c>
      <c r="H64" s="10">
        <v>402.6</v>
      </c>
      <c r="I64" s="10">
        <v>401.5</v>
      </c>
      <c r="J64" s="10">
        <v>401.1</v>
      </c>
      <c r="K64" s="315" t="str">
        <f t="shared" si="17"/>
        <v/>
      </c>
      <c r="L64" s="316"/>
      <c r="M64" s="57">
        <f t="shared" si="18"/>
        <v>-5.7999999999999545</v>
      </c>
      <c r="N64" s="57">
        <f t="shared" si="36"/>
        <v>-5.7999999999999545</v>
      </c>
      <c r="O64" s="57">
        <f t="shared" si="19"/>
        <v>-4.0462530149109632</v>
      </c>
      <c r="P64" s="57">
        <f t="shared" si="20"/>
        <v>-6.2537642167813754</v>
      </c>
      <c r="Q64" s="315" t="str">
        <f t="shared" si="21"/>
        <v/>
      </c>
      <c r="R64" s="105"/>
      <c r="S64" s="30" t="str">
        <f t="shared" si="22"/>
        <v>Control</v>
      </c>
      <c r="T64" s="30" t="str">
        <f t="shared" si="23"/>
        <v>Gene</v>
      </c>
      <c r="U64" s="56">
        <f t="shared" si="37"/>
        <v>5.9</v>
      </c>
      <c r="V64" s="56">
        <f t="shared" si="38"/>
        <v>601.22451677130198</v>
      </c>
      <c r="W64" s="57">
        <f t="shared" si="24"/>
        <v>601.42040340774713</v>
      </c>
      <c r="X64" s="57">
        <f t="shared" si="25"/>
        <v>601.02863013485694</v>
      </c>
      <c r="Y64" s="57">
        <f t="shared" si="26"/>
        <v>599.79435132056915</v>
      </c>
      <c r="Z64" s="57">
        <f t="shared" si="27"/>
        <v>599.52075333868163</v>
      </c>
      <c r="AA64" s="57">
        <f t="shared" si="28"/>
        <v>599.42107727760072</v>
      </c>
      <c r="AB64" s="320" t="str">
        <f t="shared" si="29"/>
        <v/>
      </c>
      <c r="AC64" s="321"/>
      <c r="AD64" s="57">
        <f t="shared" si="30"/>
        <v>-1.4301654507328294</v>
      </c>
      <c r="AE64" s="57">
        <f t="shared" si="39"/>
        <v>-1.4301654507328294</v>
      </c>
      <c r="AF64" s="57">
        <f t="shared" si="31"/>
        <v>-0.99575670306182906</v>
      </c>
      <c r="AG64" s="57">
        <f t="shared" si="32"/>
        <v>-1.5558899309372494</v>
      </c>
      <c r="AH64" s="315" t="str">
        <f t="shared" si="33"/>
        <v/>
      </c>
      <c r="AI64" s="313">
        <f t="shared" si="40"/>
        <v>0.98580012835464959</v>
      </c>
      <c r="AJ64" s="313">
        <f t="shared" si="41"/>
        <v>0.98580012835464959</v>
      </c>
      <c r="AK64" s="313">
        <f t="shared" si="42"/>
        <v>0.99009184539478301</v>
      </c>
      <c r="AL64" s="313">
        <f t="shared" si="43"/>
        <v>0.98456151505064293</v>
      </c>
    </row>
    <row r="65" spans="1:38" x14ac:dyDescent="0.2">
      <c r="A65" s="105"/>
      <c r="B65" s="102" t="str">
        <f t="shared" si="44"/>
        <v>Control</v>
      </c>
      <c r="C65" s="103" t="s">
        <v>69</v>
      </c>
      <c r="D65" s="10">
        <v>13.1</v>
      </c>
      <c r="E65" s="56">
        <f t="shared" si="35"/>
        <v>390.65</v>
      </c>
      <c r="F65" s="10">
        <v>388.8</v>
      </c>
      <c r="G65" s="10">
        <v>392.5</v>
      </c>
      <c r="H65" s="10">
        <v>378.7</v>
      </c>
      <c r="I65" s="10">
        <v>391.1</v>
      </c>
      <c r="J65" s="10">
        <v>397.8</v>
      </c>
      <c r="K65" s="315" t="str">
        <f t="shared" si="17"/>
        <v/>
      </c>
      <c r="L65" s="316"/>
      <c r="M65" s="57">
        <f t="shared" si="18"/>
        <v>-11.949999999999989</v>
      </c>
      <c r="N65" s="57">
        <f t="shared" si="36"/>
        <v>-11.949999999999989</v>
      </c>
      <c r="O65" s="57">
        <f t="shared" si="19"/>
        <v>-14.116783113819036</v>
      </c>
      <c r="P65" s="57">
        <f t="shared" si="20"/>
        <v>-11.508054179543239</v>
      </c>
      <c r="Q65" s="315" t="str">
        <f t="shared" si="21"/>
        <v/>
      </c>
      <c r="R65" s="105"/>
      <c r="S65" s="30" t="str">
        <f t="shared" si="22"/>
        <v>Control</v>
      </c>
      <c r="T65" s="30" t="str">
        <f t="shared" si="23"/>
        <v>Jaimie</v>
      </c>
      <c r="U65" s="56">
        <f t="shared" si="37"/>
        <v>13.1</v>
      </c>
      <c r="V65" s="56">
        <f t="shared" si="38"/>
        <v>596.78008049043729</v>
      </c>
      <c r="W65" s="57">
        <f t="shared" si="24"/>
        <v>596.30650725862836</v>
      </c>
      <c r="X65" s="57">
        <f t="shared" si="25"/>
        <v>597.25365372224633</v>
      </c>
      <c r="Y65" s="57">
        <f t="shared" si="26"/>
        <v>593.67443349077496</v>
      </c>
      <c r="Z65" s="57">
        <f t="shared" si="27"/>
        <v>596.89632817614688</v>
      </c>
      <c r="AA65" s="57">
        <f t="shared" si="28"/>
        <v>598.59493664198715</v>
      </c>
      <c r="AB65" s="320" t="str">
        <f t="shared" si="29"/>
        <v/>
      </c>
      <c r="AC65" s="321"/>
      <c r="AD65" s="57">
        <f t="shared" si="30"/>
        <v>-3.1056469996623264</v>
      </c>
      <c r="AE65" s="57">
        <f t="shared" si="39"/>
        <v>-3.1056469996623264</v>
      </c>
      <c r="AF65" s="57">
        <f t="shared" si="31"/>
        <v>-3.6389442679578949</v>
      </c>
      <c r="AG65" s="57">
        <f t="shared" si="32"/>
        <v>-2.98319704327406</v>
      </c>
      <c r="AH65" s="315" t="str">
        <f t="shared" si="33"/>
        <v/>
      </c>
      <c r="AI65" s="313">
        <f t="shared" si="40"/>
        <v>0.96942082833942012</v>
      </c>
      <c r="AJ65" s="313">
        <f t="shared" si="41"/>
        <v>0.96942082833942012</v>
      </c>
      <c r="AK65" s="313">
        <f t="shared" si="42"/>
        <v>0.96426469452427876</v>
      </c>
      <c r="AL65" s="313">
        <f t="shared" si="43"/>
        <v>0.97060861079207483</v>
      </c>
    </row>
    <row r="66" spans="1:38" x14ac:dyDescent="0.2">
      <c r="A66" s="105"/>
      <c r="B66" s="102" t="str">
        <f t="shared" si="44"/>
        <v>Control</v>
      </c>
      <c r="C66" s="103" t="s">
        <v>70</v>
      </c>
      <c r="D66" s="10">
        <v>8.6999999999999993</v>
      </c>
      <c r="E66" s="56">
        <f t="shared" si="35"/>
        <v>395.2</v>
      </c>
      <c r="F66" s="10">
        <v>390.5</v>
      </c>
      <c r="G66" s="10">
        <v>399.9</v>
      </c>
      <c r="H66" s="10">
        <v>409.6</v>
      </c>
      <c r="I66" s="10">
        <v>400.6</v>
      </c>
      <c r="J66" s="10">
        <v>410.7</v>
      </c>
      <c r="K66" s="315" t="str">
        <f t="shared" si="17"/>
        <v/>
      </c>
      <c r="L66" s="316"/>
      <c r="M66" s="57">
        <f t="shared" si="18"/>
        <v>14.400000000000034</v>
      </c>
      <c r="N66" s="57">
        <f t="shared" si="36"/>
        <v>14.400000000000034</v>
      </c>
      <c r="O66" s="57">
        <f t="shared" si="19"/>
        <v>13.238197841112346</v>
      </c>
      <c r="P66" s="57">
        <f t="shared" si="20"/>
        <v>14.294567464366791</v>
      </c>
      <c r="Q66" s="315" t="str">
        <f t="shared" si="21"/>
        <v/>
      </c>
      <c r="R66" s="105"/>
      <c r="S66" s="30" t="str">
        <f t="shared" si="22"/>
        <v>Control</v>
      </c>
      <c r="T66" s="30" t="str">
        <f t="shared" si="23"/>
        <v>Jean</v>
      </c>
      <c r="U66" s="56">
        <f t="shared" si="37"/>
        <v>8.6999999999999993</v>
      </c>
      <c r="V66" s="56">
        <f t="shared" si="38"/>
        <v>597.93212425662568</v>
      </c>
      <c r="W66" s="57">
        <f t="shared" si="24"/>
        <v>596.74279692797404</v>
      </c>
      <c r="X66" s="57">
        <f t="shared" si="25"/>
        <v>599.12145158527721</v>
      </c>
      <c r="Y66" s="57">
        <f t="shared" si="26"/>
        <v>601.51810737252981</v>
      </c>
      <c r="Z66" s="57">
        <f t="shared" si="27"/>
        <v>599.29634232317176</v>
      </c>
      <c r="AA66" s="57">
        <f t="shared" si="28"/>
        <v>601.78630209625123</v>
      </c>
      <c r="AB66" s="320" t="str">
        <f t="shared" si="29"/>
        <v/>
      </c>
      <c r="AC66" s="321"/>
      <c r="AD66" s="57">
        <f t="shared" si="30"/>
        <v>3.5859831159041278</v>
      </c>
      <c r="AE66" s="57">
        <f t="shared" si="39"/>
        <v>3.5859831159041278</v>
      </c>
      <c r="AF66" s="57">
        <f t="shared" si="31"/>
        <v>3.3035252370711072</v>
      </c>
      <c r="AG66" s="57">
        <f t="shared" si="32"/>
        <v>3.5567709165968635</v>
      </c>
      <c r="AH66" s="315" t="str">
        <f t="shared" si="33"/>
        <v/>
      </c>
      <c r="AI66" s="313">
        <f t="shared" si="40"/>
        <v>1.0365105498257186</v>
      </c>
      <c r="AJ66" s="313">
        <f t="shared" si="41"/>
        <v>1.0365105498257186</v>
      </c>
      <c r="AK66" s="313">
        <f t="shared" si="42"/>
        <v>1.0335869749902828</v>
      </c>
      <c r="AL66" s="313">
        <f t="shared" si="43"/>
        <v>1.0362078065192044</v>
      </c>
    </row>
    <row r="67" spans="1:38" x14ac:dyDescent="0.2">
      <c r="A67" s="105"/>
      <c r="B67" s="102" t="str">
        <f t="shared" si="44"/>
        <v>Control</v>
      </c>
      <c r="C67" s="103" t="s">
        <v>26</v>
      </c>
      <c r="D67" s="10">
        <v>4.5999999999999996</v>
      </c>
      <c r="E67" s="56">
        <f t="shared" si="35"/>
        <v>423.45000000000005</v>
      </c>
      <c r="F67" s="10">
        <v>421.8</v>
      </c>
      <c r="G67" s="10">
        <v>425.1</v>
      </c>
      <c r="H67" s="10">
        <v>417.5</v>
      </c>
      <c r="I67" s="10">
        <v>415.4</v>
      </c>
      <c r="J67" s="10">
        <v>429.1</v>
      </c>
      <c r="K67" s="315" t="str">
        <f t="shared" si="17"/>
        <v/>
      </c>
      <c r="L67" s="316"/>
      <c r="M67" s="57">
        <f t="shared" si="18"/>
        <v>-5.9500000000000455</v>
      </c>
      <c r="N67" s="57">
        <f t="shared" si="36"/>
        <v>-5.9500000000000455</v>
      </c>
      <c r="O67" s="57">
        <f t="shared" si="19"/>
        <v>-0.87208524090732364</v>
      </c>
      <c r="P67" s="57">
        <f t="shared" si="20"/>
        <v>-6.565489640171692</v>
      </c>
      <c r="Q67" s="315" t="str">
        <f t="shared" si="21"/>
        <v/>
      </c>
      <c r="R67" s="105"/>
      <c r="S67" s="30" t="str">
        <f t="shared" si="22"/>
        <v>Control</v>
      </c>
      <c r="T67" s="30" t="str">
        <f t="shared" si="23"/>
        <v>Jesse</v>
      </c>
      <c r="U67" s="56">
        <f t="shared" si="37"/>
        <v>4.5999999999999996</v>
      </c>
      <c r="V67" s="56">
        <f t="shared" si="38"/>
        <v>604.84278517047096</v>
      </c>
      <c r="W67" s="57">
        <f t="shared" si="24"/>
        <v>604.4531268044675</v>
      </c>
      <c r="X67" s="57">
        <f t="shared" si="25"/>
        <v>605.23244353647442</v>
      </c>
      <c r="Y67" s="57">
        <f t="shared" si="26"/>
        <v>603.42845442909106</v>
      </c>
      <c r="Z67" s="57">
        <f t="shared" si="27"/>
        <v>602.92419114420113</v>
      </c>
      <c r="AA67" s="57">
        <f t="shared" si="28"/>
        <v>606.16899919974787</v>
      </c>
      <c r="AB67" s="320" t="str">
        <f t="shared" si="29"/>
        <v/>
      </c>
      <c r="AC67" s="321"/>
      <c r="AD67" s="57">
        <f t="shared" si="30"/>
        <v>-1.4143307413798993</v>
      </c>
      <c r="AE67" s="57">
        <f t="shared" si="39"/>
        <v>-1.4143307413798993</v>
      </c>
      <c r="AF67" s="57">
        <f t="shared" si="31"/>
        <v>-0.19210102475210489</v>
      </c>
      <c r="AG67" s="57">
        <f t="shared" si="32"/>
        <v>-1.5848644948579989</v>
      </c>
      <c r="AH67" s="315" t="str">
        <f t="shared" si="33"/>
        <v/>
      </c>
      <c r="AI67" s="313">
        <f t="shared" si="40"/>
        <v>0.98595623929930631</v>
      </c>
      <c r="AJ67" s="313">
        <f t="shared" si="41"/>
        <v>0.98595623929930631</v>
      </c>
      <c r="AK67" s="313">
        <f t="shared" si="42"/>
        <v>0.99808083371172063</v>
      </c>
      <c r="AL67" s="313">
        <f t="shared" si="43"/>
        <v>0.98427628396935196</v>
      </c>
    </row>
    <row r="68" spans="1:38" x14ac:dyDescent="0.2">
      <c r="A68" s="105"/>
      <c r="B68" s="102" t="str">
        <f t="shared" si="44"/>
        <v>Control</v>
      </c>
      <c r="C68" s="103" t="s">
        <v>25</v>
      </c>
      <c r="D68" s="10">
        <v>12.4</v>
      </c>
      <c r="E68" s="56">
        <f t="shared" si="35"/>
        <v>391.45</v>
      </c>
      <c r="F68" s="10">
        <v>387</v>
      </c>
      <c r="G68" s="10">
        <v>395.9</v>
      </c>
      <c r="H68" s="10">
        <v>390.4</v>
      </c>
      <c r="I68" s="10">
        <v>390.9</v>
      </c>
      <c r="J68" s="10">
        <v>385.2</v>
      </c>
      <c r="K68" s="315" t="str">
        <f t="shared" si="17"/>
        <v/>
      </c>
      <c r="L68" s="316"/>
      <c r="M68" s="57">
        <f t="shared" si="18"/>
        <v>-1.0500000000000114</v>
      </c>
      <c r="N68" s="57">
        <f t="shared" si="36"/>
        <v>-1.0500000000000114</v>
      </c>
      <c r="O68" s="57">
        <f t="shared" si="19"/>
        <v>-3.0400831656992571</v>
      </c>
      <c r="P68" s="57">
        <f t="shared" si="20"/>
        <v>-0.69513709983030481</v>
      </c>
      <c r="Q68" s="315" t="str">
        <f t="shared" si="21"/>
        <v/>
      </c>
      <c r="R68" s="105"/>
      <c r="S68" s="30" t="str">
        <f t="shared" si="22"/>
        <v>Control</v>
      </c>
      <c r="T68" s="30" t="str">
        <f t="shared" si="23"/>
        <v>Jo</v>
      </c>
      <c r="U68" s="56">
        <f t="shared" si="37"/>
        <v>12.4</v>
      </c>
      <c r="V68" s="56">
        <f t="shared" si="38"/>
        <v>596.97931735709335</v>
      </c>
      <c r="W68" s="57">
        <f t="shared" si="24"/>
        <v>595.8424693029782</v>
      </c>
      <c r="X68" s="57">
        <f t="shared" si="25"/>
        <v>598.1161654112085</v>
      </c>
      <c r="Y68" s="57">
        <f t="shared" si="26"/>
        <v>596.71718545389365</v>
      </c>
      <c r="Z68" s="57">
        <f t="shared" si="27"/>
        <v>596.84517727989089</v>
      </c>
      <c r="AA68" s="57">
        <f t="shared" si="28"/>
        <v>595.37626799239706</v>
      </c>
      <c r="AB68" s="320" t="str">
        <f t="shared" si="29"/>
        <v/>
      </c>
      <c r="AC68" s="321"/>
      <c r="AD68" s="57">
        <f t="shared" si="30"/>
        <v>-0.26213190319970181</v>
      </c>
      <c r="AE68" s="57">
        <f t="shared" si="39"/>
        <v>-0.26213190319970181</v>
      </c>
      <c r="AF68" s="57">
        <f t="shared" si="31"/>
        <v>-0.7520484810586664</v>
      </c>
      <c r="AG68" s="57">
        <f t="shared" si="32"/>
        <v>-0.16381001703572423</v>
      </c>
      <c r="AH68" s="315" t="str">
        <f t="shared" si="33"/>
        <v/>
      </c>
      <c r="AI68" s="313">
        <f t="shared" si="40"/>
        <v>0.99738211362471885</v>
      </c>
      <c r="AJ68" s="313">
        <f t="shared" si="41"/>
        <v>0.99738211362471885</v>
      </c>
      <c r="AK68" s="313">
        <f t="shared" si="42"/>
        <v>0.99250772327817816</v>
      </c>
      <c r="AL68" s="313">
        <f t="shared" si="43"/>
        <v>0.99836324078342131</v>
      </c>
    </row>
    <row r="69" spans="1:38" x14ac:dyDescent="0.2">
      <c r="A69" s="105"/>
      <c r="B69" s="102" t="str">
        <f t="shared" si="44"/>
        <v>Control</v>
      </c>
      <c r="C69" s="103" t="s">
        <v>71</v>
      </c>
      <c r="D69" s="10">
        <v>13.1</v>
      </c>
      <c r="E69" s="56">
        <f t="shared" si="35"/>
        <v>400</v>
      </c>
      <c r="F69" s="10">
        <v>407.5</v>
      </c>
      <c r="G69" s="10">
        <v>392.5</v>
      </c>
      <c r="H69" s="10">
        <v>401</v>
      </c>
      <c r="I69" s="10">
        <v>410.9</v>
      </c>
      <c r="J69" s="10">
        <v>406.5</v>
      </c>
      <c r="K69" s="315" t="str">
        <f t="shared" si="17"/>
        <v/>
      </c>
      <c r="L69" s="317"/>
      <c r="M69" s="57">
        <f t="shared" si="18"/>
        <v>1</v>
      </c>
      <c r="N69" s="57">
        <f t="shared" si="36"/>
        <v>1</v>
      </c>
      <c r="O69" s="57">
        <f t="shared" si="19"/>
        <v>0.89839752983110766</v>
      </c>
      <c r="P69" s="57">
        <f t="shared" si="20"/>
        <v>1.441945820456751</v>
      </c>
      <c r="Q69" s="315" t="str">
        <f t="shared" si="21"/>
        <v/>
      </c>
      <c r="R69" s="105"/>
      <c r="S69" s="30" t="str">
        <f t="shared" si="22"/>
        <v>Control</v>
      </c>
      <c r="T69" s="30" t="str">
        <f t="shared" si="23"/>
        <v xml:space="preserve">Jody </v>
      </c>
      <c r="U69" s="56">
        <f t="shared" si="37"/>
        <v>13.1</v>
      </c>
      <c r="V69" s="56">
        <f t="shared" si="38"/>
        <v>599.12887349516905</v>
      </c>
      <c r="W69" s="57">
        <f t="shared" si="24"/>
        <v>601.00409326809176</v>
      </c>
      <c r="X69" s="57">
        <f t="shared" si="25"/>
        <v>597.25365372224633</v>
      </c>
      <c r="Y69" s="57">
        <f t="shared" si="26"/>
        <v>599.39614273065695</v>
      </c>
      <c r="Z69" s="57">
        <f t="shared" si="27"/>
        <v>601.83498758893643</v>
      </c>
      <c r="AA69" s="57">
        <f t="shared" si="28"/>
        <v>600.75839289878661</v>
      </c>
      <c r="AB69" s="320" t="str">
        <f t="shared" si="29"/>
        <v/>
      </c>
      <c r="AC69" s="321"/>
      <c r="AD69" s="57">
        <f t="shared" si="30"/>
        <v>0.26726923548790182</v>
      </c>
      <c r="AE69" s="57">
        <f t="shared" si="39"/>
        <v>0.26726923548790182</v>
      </c>
      <c r="AF69" s="57">
        <f t="shared" si="31"/>
        <v>0.24538465876925092</v>
      </c>
      <c r="AG69" s="57">
        <f t="shared" si="32"/>
        <v>0.38971919187616832</v>
      </c>
      <c r="AH69" s="315" t="str">
        <f t="shared" si="33"/>
        <v/>
      </c>
      <c r="AI69" s="313">
        <f t="shared" si="40"/>
        <v>1.0026762671811851</v>
      </c>
      <c r="AJ69" s="313">
        <f t="shared" si="41"/>
        <v>1.0026762671811851</v>
      </c>
      <c r="AK69" s="313">
        <f t="shared" si="42"/>
        <v>1.0024568597333254</v>
      </c>
      <c r="AL69" s="313">
        <f t="shared" si="43"/>
        <v>1.0039047958459666</v>
      </c>
    </row>
    <row r="70" spans="1:38" x14ac:dyDescent="0.2">
      <c r="A70" s="105"/>
      <c r="B70" s="102" t="str">
        <f t="shared" si="44"/>
        <v>Control</v>
      </c>
      <c r="C70" s="103" t="s">
        <v>72</v>
      </c>
      <c r="D70" s="10">
        <v>9.5</v>
      </c>
      <c r="E70" s="56">
        <f t="shared" si="35"/>
        <v>408.75</v>
      </c>
      <c r="F70" s="10">
        <v>405.5</v>
      </c>
      <c r="G70" s="10">
        <v>412</v>
      </c>
      <c r="H70" s="10">
        <v>414.1</v>
      </c>
      <c r="I70" s="10">
        <v>402.8</v>
      </c>
      <c r="J70" s="10">
        <v>403.6</v>
      </c>
      <c r="K70" s="315" t="str">
        <f t="shared" si="17"/>
        <v/>
      </c>
      <c r="L70" s="316"/>
      <c r="M70" s="57">
        <f t="shared" si="18"/>
        <v>5.3500000000000227</v>
      </c>
      <c r="N70" s="57">
        <f t="shared" si="36"/>
        <v>5.3500000000000227</v>
      </c>
      <c r="O70" s="57">
        <f t="shared" si="19"/>
        <v>7.181053212391431</v>
      </c>
      <c r="P70" s="57">
        <f t="shared" si="20"/>
        <v>5.3440908018376874</v>
      </c>
      <c r="Q70" s="315" t="str">
        <f t="shared" si="21"/>
        <v/>
      </c>
      <c r="R70" s="105"/>
      <c r="S70" s="30" t="str">
        <f t="shared" si="22"/>
        <v>Control</v>
      </c>
      <c r="T70" s="30" t="str">
        <f t="shared" si="23"/>
        <v>Jordan</v>
      </c>
      <c r="U70" s="56">
        <f t="shared" si="37"/>
        <v>9.5</v>
      </c>
      <c r="V70" s="56">
        <f t="shared" si="38"/>
        <v>601.30721114524977</v>
      </c>
      <c r="W70" s="57">
        <f t="shared" si="24"/>
        <v>600.51208735554678</v>
      </c>
      <c r="X70" s="57">
        <f t="shared" si="25"/>
        <v>602.10233493495264</v>
      </c>
      <c r="Y70" s="57">
        <f t="shared" si="26"/>
        <v>602.61074905515216</v>
      </c>
      <c r="Z70" s="57">
        <f t="shared" si="27"/>
        <v>599.8440160844408</v>
      </c>
      <c r="AA70" s="57">
        <f t="shared" si="28"/>
        <v>600.04242884794542</v>
      </c>
      <c r="AB70" s="320" t="str">
        <f t="shared" si="29"/>
        <v/>
      </c>
      <c r="AC70" s="321"/>
      <c r="AD70" s="57">
        <f t="shared" si="30"/>
        <v>1.3035379099023885</v>
      </c>
      <c r="AE70" s="57">
        <f t="shared" si="39"/>
        <v>1.3035379099023885</v>
      </c>
      <c r="AF70" s="57">
        <f t="shared" si="31"/>
        <v>1.755952055355871</v>
      </c>
      <c r="AG70" s="57">
        <f t="shared" si="32"/>
        <v>1.3019006479943118</v>
      </c>
      <c r="AH70" s="315" t="str">
        <f t="shared" si="33"/>
        <v/>
      </c>
      <c r="AI70" s="313">
        <f t="shared" si="40"/>
        <v>1.0131207100236879</v>
      </c>
      <c r="AJ70" s="313">
        <f t="shared" si="41"/>
        <v>1.0131207100236879</v>
      </c>
      <c r="AK70" s="313">
        <f t="shared" si="42"/>
        <v>1.0177145952841469</v>
      </c>
      <c r="AL70" s="313">
        <f t="shared" si="43"/>
        <v>1.013104122720009</v>
      </c>
    </row>
    <row r="71" spans="1:38" x14ac:dyDescent="0.2">
      <c r="A71" s="105"/>
      <c r="B71" s="102" t="str">
        <f t="shared" si="44"/>
        <v>Control</v>
      </c>
      <c r="C71" s="103" t="s">
        <v>27</v>
      </c>
      <c r="D71" s="10">
        <v>6.6</v>
      </c>
      <c r="E71" s="56">
        <f t="shared" si="35"/>
        <v>414.35</v>
      </c>
      <c r="F71" s="10">
        <v>414.3</v>
      </c>
      <c r="G71" s="10">
        <v>414.4</v>
      </c>
      <c r="H71" s="10">
        <v>407.5</v>
      </c>
      <c r="I71" s="10">
        <v>404.8</v>
      </c>
      <c r="J71" s="10">
        <v>401.8</v>
      </c>
      <c r="K71" s="315" t="str">
        <f t="shared" si="17"/>
        <v/>
      </c>
      <c r="L71" s="316"/>
      <c r="M71" s="57">
        <f t="shared" si="18"/>
        <v>-6.8500000000000227</v>
      </c>
      <c r="N71" s="57">
        <f t="shared" si="36"/>
        <v>-6.8500000000000227</v>
      </c>
      <c r="O71" s="57">
        <f t="shared" si="19"/>
        <v>-3.7820471507700177</v>
      </c>
      <c r="P71" s="57">
        <f t="shared" si="20"/>
        <v>-7.2166812964943992</v>
      </c>
      <c r="Q71" s="315" t="str">
        <f t="shared" si="21"/>
        <v/>
      </c>
      <c r="R71" s="105"/>
      <c r="S71" s="30" t="str">
        <f t="shared" si="22"/>
        <v>Control</v>
      </c>
      <c r="T71" s="30" t="str">
        <f t="shared" si="23"/>
        <v>Kelly</v>
      </c>
      <c r="U71" s="56">
        <f t="shared" si="37"/>
        <v>6.6</v>
      </c>
      <c r="V71" s="56">
        <f t="shared" si="38"/>
        <v>602.67110200143156</v>
      </c>
      <c r="W71" s="57">
        <f t="shared" si="24"/>
        <v>602.65903490833568</v>
      </c>
      <c r="X71" s="57">
        <f t="shared" si="25"/>
        <v>602.68316909452733</v>
      </c>
      <c r="Y71" s="57">
        <f t="shared" si="26"/>
        <v>601.00409326809176</v>
      </c>
      <c r="Z71" s="57">
        <f t="shared" si="27"/>
        <v>600.33931179732565</v>
      </c>
      <c r="AA71" s="57">
        <f t="shared" si="28"/>
        <v>599.59544523808347</v>
      </c>
      <c r="AB71" s="320" t="str">
        <f t="shared" si="29"/>
        <v/>
      </c>
      <c r="AC71" s="322"/>
      <c r="AD71" s="57">
        <f t="shared" si="30"/>
        <v>-1.6670087333397987</v>
      </c>
      <c r="AE71" s="57">
        <f t="shared" si="39"/>
        <v>-1.6670087333397987</v>
      </c>
      <c r="AF71" s="57">
        <f t="shared" si="31"/>
        <v>-0.91762883042198928</v>
      </c>
      <c r="AG71" s="57">
        <f t="shared" si="32"/>
        <v>-1.7686051433199297</v>
      </c>
      <c r="AH71" s="315" t="str">
        <f t="shared" si="33"/>
        <v/>
      </c>
      <c r="AI71" s="313">
        <f t="shared" si="40"/>
        <v>0.98346808969928801</v>
      </c>
      <c r="AJ71" s="313">
        <f t="shared" si="41"/>
        <v>0.98346808969928801</v>
      </c>
      <c r="AK71" s="313">
        <f t="shared" si="42"/>
        <v>0.99086568534375297</v>
      </c>
      <c r="AL71" s="313">
        <f t="shared" si="43"/>
        <v>0.98246942881455679</v>
      </c>
    </row>
    <row r="72" spans="1:38" x14ac:dyDescent="0.2">
      <c r="A72" s="105"/>
      <c r="B72" s="108"/>
      <c r="C72" s="109" t="s">
        <v>2</v>
      </c>
      <c r="D72" s="89">
        <f t="shared" ref="D72:J72" si="45">AVERAGE(D52:D71)</f>
        <v>9.379999999999999</v>
      </c>
      <c r="E72" s="89">
        <f t="shared" si="45"/>
        <v>401.72999999999996</v>
      </c>
      <c r="F72" s="89">
        <f t="shared" si="45"/>
        <v>399.995</v>
      </c>
      <c r="G72" s="89">
        <f t="shared" ref="G72:I72" si="46">AVERAGE(G52:G71)</f>
        <v>403.46499999999997</v>
      </c>
      <c r="H72" s="89">
        <f t="shared" si="46"/>
        <v>404.14</v>
      </c>
      <c r="I72" s="89">
        <f t="shared" si="46"/>
        <v>401.60500000000002</v>
      </c>
      <c r="J72" s="89">
        <f t="shared" si="45"/>
        <v>402.48500000000001</v>
      </c>
      <c r="K72" s="110"/>
      <c r="L72" s="121" t="s">
        <v>182</v>
      </c>
      <c r="M72" s="89">
        <f>IF(ISNUMBER(M$47),SLOPE(M52:M71,D52:D71)*IF(M$47=-1,D72,M$47),IF(ISNUMBER(M$44),FORECAST(M$44,M52:M71,D52:D71),AVERAGE(M52:M71)))</f>
        <v>2.4099999999999939</v>
      </c>
      <c r="N72" s="89">
        <f>IF(ISNUMBER(N$47),SLOPE(N52:N71,E52:E71)*IF(N$47=-1,E72,N$47),IF(ISNUMBER(N$44),FORECAST(N$44,N52:N71,E52:E71),AVERAGE(N52:N71)))</f>
        <v>2.4099999999999939</v>
      </c>
      <c r="O72" s="89">
        <f>IF(ISNUMBER(O$47),D80*IF(O$47=-1,D72,O$47),E80+O$44*D80+P$44*C80)</f>
        <v>2.6696734688571695</v>
      </c>
      <c r="P72" s="90">
        <f>IF(ISNUMBER(P$47),C80*IF(P$47=-1,E72,P$47),E80+O$44*D80+P$44*C80)</f>
        <v>2.6696734688571695</v>
      </c>
      <c r="Q72" s="38"/>
      <c r="R72" s="105"/>
      <c r="S72" s="108"/>
      <c r="T72" s="109" t="s">
        <v>2</v>
      </c>
      <c r="U72" s="89">
        <f t="shared" ref="U72:AA72" si="47">AVERAGE(U52:U71)</f>
        <v>9.379999999999999</v>
      </c>
      <c r="V72" s="89">
        <f t="shared" si="47"/>
        <v>599.54975273037815</v>
      </c>
      <c r="W72" s="111">
        <f t="shared" si="47"/>
        <v>599.11583707277771</v>
      </c>
      <c r="X72" s="111">
        <f t="shared" ref="X72:Z72" si="48">AVERAGE(X52:X71)</f>
        <v>599.9836683879787</v>
      </c>
      <c r="Y72" s="111">
        <f t="shared" si="48"/>
        <v>600.14620080104226</v>
      </c>
      <c r="Z72" s="111">
        <f t="shared" si="48"/>
        <v>599.52677582892807</v>
      </c>
      <c r="AA72" s="111">
        <f t="shared" si="47"/>
        <v>599.73155980443289</v>
      </c>
      <c r="AB72" s="111"/>
      <c r="AC72" s="121" t="s">
        <v>207</v>
      </c>
      <c r="AD72" s="112">
        <f>IF(ISNUMBER(AD$47),SLOPE(AD52:AD71,U52:U71)*IF(AD$47=-1,U72,AD$47),IF(ISNUMBER(AD$44),FORECAST(AD$44,AD52:AD71,U52:U71),AVERAGE(AD52:AD71)))</f>
        <v>0.59644807066393923</v>
      </c>
      <c r="AE72" s="112">
        <f>IF(ISNUMBER(AE$47),SLOPE(AE52:AE71,V52:V71)*IF(AE$47=-1,V72,AE$47),IF(ISNUMBER(AE$44),FORECAST(AE$44,AE52:AE71,V52:V71),AVERAGE(AE52:AE71)))</f>
        <v>0.59644807066393923</v>
      </c>
      <c r="AF72" s="112">
        <f>IF(ISNUMBER(AF$47),U80*IF(AF$47=-1,U72,AF$47),V80+AF$44*U80+AG$44*T80)</f>
        <v>0.66042981753102481</v>
      </c>
      <c r="AG72" s="112">
        <f>IF(ISNUMBER(AG$47),T80*IF(AG$47=-1,V72,AG$47),V80+AF$44*U80+AG$44*T80)</f>
        <v>0.66042981753102481</v>
      </c>
      <c r="AH72" s="124"/>
      <c r="AI72" s="113"/>
      <c r="AJ72" s="34"/>
      <c r="AK72" s="34"/>
      <c r="AL72" s="18"/>
    </row>
    <row r="73" spans="1:38" x14ac:dyDescent="0.2">
      <c r="A73" s="105"/>
      <c r="B73" s="114"/>
      <c r="C73" s="115" t="s">
        <v>3</v>
      </c>
      <c r="D73" s="91">
        <f t="shared" ref="D73:J73" si="49">STDEV(D52:D71)</f>
        <v>3.1726794254765349</v>
      </c>
      <c r="E73" s="91">
        <f t="shared" si="49"/>
        <v>8.8971669056710745</v>
      </c>
      <c r="F73" s="91">
        <f t="shared" si="49"/>
        <v>9.9679209150364478</v>
      </c>
      <c r="G73" s="91">
        <f t="shared" ref="G73:I73" si="50">STDEV(G52:G71)</f>
        <v>9.3488121958719628</v>
      </c>
      <c r="H73" s="91">
        <f t="shared" si="50"/>
        <v>10.084297329590154</v>
      </c>
      <c r="I73" s="91">
        <f t="shared" si="50"/>
        <v>8.2637110944557737</v>
      </c>
      <c r="J73" s="91">
        <f t="shared" si="49"/>
        <v>10.809658205804471</v>
      </c>
      <c r="K73" s="116"/>
      <c r="L73" s="117" t="s">
        <v>183</v>
      </c>
      <c r="M73" s="92">
        <f>IF(OR(ISNUMBER(M$47),ISNUMBER(M$44)),STEYX(M52:M71,D52:D71),STDEV(M52:M71))</f>
        <v>7.3246088453133282</v>
      </c>
      <c r="N73" s="92">
        <f>IF(OR(ISNUMBER(N$47),ISNUMBER(N$44)),STEYX(N52:N71,E52:E71),STDEV(N52:N71))</f>
        <v>7.3246088453133282</v>
      </c>
      <c r="O73" s="92">
        <f>D82</f>
        <v>7.5114794709913966</v>
      </c>
      <c r="P73" s="93">
        <f>D82</f>
        <v>7.5114794709913966</v>
      </c>
      <c r="Q73" s="38"/>
      <c r="R73" s="105"/>
      <c r="S73" s="114"/>
      <c r="T73" s="115" t="s">
        <v>3</v>
      </c>
      <c r="U73" s="91">
        <f t="shared" ref="U73:AA73" si="51">STDEV(U52:U71)</f>
        <v>3.1726794254765349</v>
      </c>
      <c r="V73" s="91">
        <f t="shared" si="51"/>
        <v>2.2016466759116518</v>
      </c>
      <c r="W73" s="57">
        <f t="shared" si="51"/>
        <v>2.4838362498994755</v>
      </c>
      <c r="X73" s="57">
        <f t="shared" ref="X73:Z73" si="52">STDEV(X52:X71)</f>
        <v>2.3037300578153621</v>
      </c>
      <c r="Y73" s="57">
        <f t="shared" si="52"/>
        <v>2.5181485648162756</v>
      </c>
      <c r="Z73" s="57">
        <f t="shared" si="52"/>
        <v>2.0588208970812234</v>
      </c>
      <c r="AA73" s="57">
        <f t="shared" si="51"/>
        <v>2.6837091831462607</v>
      </c>
      <c r="AB73" s="57"/>
      <c r="AC73" s="118" t="s">
        <v>188</v>
      </c>
      <c r="AD73" s="119">
        <f>IF(OR(ISNUMBER(AD$47),ISNUMBER(AD$44)),STEYX(AD52:AD71,U52:U71),STDEV(AD52:AD71))</f>
        <v>1.8274326905231562</v>
      </c>
      <c r="AE73" s="119">
        <f>IF(OR(ISNUMBER(AE$47),ISNUMBER(AE$44)),STEYX(AE52:AE71,V52:V71),STDEV(AE52:AE71))</f>
        <v>1.8274326905231562</v>
      </c>
      <c r="AF73" s="119">
        <f>U82</f>
        <v>1.8779548423676968</v>
      </c>
      <c r="AG73" s="119">
        <f>U82</f>
        <v>1.8779548423676968</v>
      </c>
      <c r="AH73" s="38"/>
      <c r="AI73" s="113"/>
      <c r="AJ73" s="34"/>
      <c r="AK73" s="34"/>
      <c r="AL73" s="18"/>
    </row>
    <row r="74" spans="1:38" x14ac:dyDescent="0.2">
      <c r="A74" s="105"/>
      <c r="B74" s="114"/>
      <c r="C74" s="168" t="s">
        <v>47</v>
      </c>
      <c r="D74" s="169">
        <f t="shared" ref="D74:J74" si="53">D73/SQRT(D76)</f>
        <v>0.70943268661805103</v>
      </c>
      <c r="E74" s="169">
        <f t="shared" si="53"/>
        <v>1.9894670008241981</v>
      </c>
      <c r="F74" s="169">
        <f t="shared" si="53"/>
        <v>2.2288948760363403</v>
      </c>
      <c r="G74" s="169">
        <f t="shared" si="53"/>
        <v>2.0904579578848788</v>
      </c>
      <c r="H74" s="169">
        <f t="shared" si="53"/>
        <v>2.2549174334283184</v>
      </c>
      <c r="I74" s="169">
        <f t="shared" si="53"/>
        <v>1.8478219753622294</v>
      </c>
      <c r="J74" s="169">
        <f t="shared" si="53"/>
        <v>2.4171130561717207</v>
      </c>
      <c r="K74" s="16"/>
      <c r="L74" s="262" t="s">
        <v>190</v>
      </c>
      <c r="M74" s="263">
        <f>IF(ISNUMBER(M$47),IF(M$47=-1,D72,ABS(M$47))*STEYX(M52:M71,D52:D71)/(SQRT(COUNT(M52:M71)-1))/D73,IF(ISNUMBER(M$44),M73*SQRT(1/COUNT(M52:M71)+1/(COUNT(M52:M71)-1)*(M$44-D72)^2/D73^2),M73/SQRT(COUNT(M52:M71))))</f>
        <v>1.6378323286716843</v>
      </c>
      <c r="N74" s="263">
        <f>IF(ISNUMBER(N$47),IF(N$47=-1,E72,ABS(N$47))*STEYX(N52:N71,E52:E71)/(SQRT(COUNT(N52:N71)-1))/E73,IF(ISNUMBER(N$44),N73*SQRT(1/COUNT(N52:N71)+1/(COUNT(N52:N71)-1)*(N$44-E72)^2/E73^2),N73/SQRT(COUNT(N52:N71))))</f>
        <v>1.6378323286716843</v>
      </c>
      <c r="O74" s="263">
        <f>IF(ISNUMBER(O$47),IF(O$47=-1,D72,ABS(O$47))*D81,F82)</f>
        <v>1.6983475760449458</v>
      </c>
      <c r="P74" s="263">
        <f>IF(ISNUMBER(P$47),IF(P$47=-1,E72,ABS(P$47))*C81,F82)</f>
        <v>1.6983475760449458</v>
      </c>
      <c r="Q74" s="18"/>
      <c r="R74" s="105"/>
      <c r="S74" s="114"/>
      <c r="T74" s="168" t="s">
        <v>47</v>
      </c>
      <c r="U74" s="169">
        <f t="shared" ref="U74:AA74" si="54">U73/SQRT(COUNT(U52:U71))</f>
        <v>0.70943268661805103</v>
      </c>
      <c r="V74" s="169">
        <f t="shared" si="54"/>
        <v>0.49230316297749016</v>
      </c>
      <c r="W74" s="169">
        <f t="shared" si="54"/>
        <v>0.55540266997533816</v>
      </c>
      <c r="X74" s="169">
        <f t="shared" si="54"/>
        <v>0.51512970110846701</v>
      </c>
      <c r="Y74" s="169">
        <f t="shared" si="54"/>
        <v>0.56307513683727273</v>
      </c>
      <c r="Z74" s="169">
        <f t="shared" si="54"/>
        <v>0.46036634793707137</v>
      </c>
      <c r="AA74" s="169">
        <f t="shared" si="54"/>
        <v>0.60009561653554722</v>
      </c>
      <c r="AB74" s="57"/>
      <c r="AC74" s="261" t="s">
        <v>189</v>
      </c>
      <c r="AD74" s="263">
        <f>IF(ISNUMBER(AD$47),IF(AD$47=-1,U72,ABS(AD$47))*STEYX(AD52:AD71,U52:U71)/(SQRT(COUNT(AD52:AD71)-1))/U73,IF(ISNUMBER(AD$44),AD73*SQRT(1/COUNT(AD52:AD71)+1/(COUNT(AD52:AD71)-1)*(AD$44-U72)^2/U73^2),AD73/SQRT(COUNT(AD52:AD71))))</f>
        <v>0.40862637203151125</v>
      </c>
      <c r="AE74" s="263">
        <f>IF(ISNUMBER(AE$47),IF(AE$47=-1,V72,ABS(AE$47))*STEYX(AE52:AE71,V52:V71)/(SQRT(COUNT(AE52:AE71)-1))/V73,IF(ISNUMBER(AE$44),AE73*SQRT(1/COUNT(AE52:AE71)+1/(COUNT(AE52:AE71)-1)*(AE$44-V72)^2/V73^2),AE73/SQRT(COUNT(AE52:AE71))))</f>
        <v>0.40862637203151125</v>
      </c>
      <c r="AF74" s="263">
        <f>IF(ISNUMBER(AF$47),IF(AF$47=-1,U72,ABS(AF$47))*U81,W82)</f>
        <v>0.42481159647709865</v>
      </c>
      <c r="AG74" s="263">
        <f>IF(ISNUMBER(AG$47),IF(AG$47=-1,V72,ABS(AG$47))*T81,W82)</f>
        <v>0.42481159647709865</v>
      </c>
      <c r="AH74" s="38"/>
      <c r="AI74" s="113"/>
      <c r="AJ74" s="34"/>
      <c r="AK74" s="34"/>
      <c r="AL74" s="18"/>
    </row>
    <row r="75" spans="1:38" x14ac:dyDescent="0.2">
      <c r="A75" s="105"/>
      <c r="B75" s="114"/>
      <c r="C75" s="168" t="s">
        <v>49</v>
      </c>
      <c r="D75" s="170">
        <f t="shared" ref="D75:J75" si="55">D76-1</f>
        <v>19</v>
      </c>
      <c r="E75" s="170">
        <f t="shared" si="55"/>
        <v>19</v>
      </c>
      <c r="F75" s="170">
        <f t="shared" si="55"/>
        <v>19</v>
      </c>
      <c r="G75" s="170">
        <f t="shared" si="55"/>
        <v>19</v>
      </c>
      <c r="H75" s="170">
        <f t="shared" si="55"/>
        <v>19</v>
      </c>
      <c r="I75" s="170">
        <f t="shared" si="55"/>
        <v>19</v>
      </c>
      <c r="J75" s="170">
        <f t="shared" si="55"/>
        <v>19</v>
      </c>
      <c r="K75" s="16"/>
      <c r="L75" s="262" t="s">
        <v>84</v>
      </c>
      <c r="M75" s="264">
        <f>IF(OR(ISNUMBER(M$47),ISNUMBER(M$44)),COUNT(M52:M71)-2,COUNT(M52:M71)-1)</f>
        <v>19</v>
      </c>
      <c r="N75" s="264">
        <f>IF(OR(ISNUMBER(N$47),ISNUMBER(N$44)),COUNT(N52:N71)-2,COUNT(N52:N71)-1)</f>
        <v>19</v>
      </c>
      <c r="O75" s="264">
        <f>COUNT(O52:O71)-3</f>
        <v>17</v>
      </c>
      <c r="P75" s="264">
        <f>COUNT(P52:P71)-3</f>
        <v>17</v>
      </c>
      <c r="Q75" s="18"/>
      <c r="R75" s="105"/>
      <c r="S75" s="114"/>
      <c r="T75" s="168" t="s">
        <v>49</v>
      </c>
      <c r="U75" s="170">
        <f t="shared" ref="U75:AA75" si="56">COUNT(U52:U71)-1</f>
        <v>19</v>
      </c>
      <c r="V75" s="170">
        <f t="shared" si="56"/>
        <v>19</v>
      </c>
      <c r="W75" s="170">
        <f t="shared" si="56"/>
        <v>19</v>
      </c>
      <c r="X75" s="170">
        <f t="shared" si="56"/>
        <v>19</v>
      </c>
      <c r="Y75" s="170">
        <f t="shared" si="56"/>
        <v>19</v>
      </c>
      <c r="Z75" s="170">
        <f t="shared" si="56"/>
        <v>19</v>
      </c>
      <c r="AA75" s="170">
        <f t="shared" si="56"/>
        <v>19</v>
      </c>
      <c r="AB75" s="57"/>
      <c r="AC75" s="262" t="s">
        <v>84</v>
      </c>
      <c r="AD75" s="264">
        <f>IF(OR(ISNUMBER(AD$47),ISNUMBER(AD$44)),COUNT(AD52:AD71)-2,COUNT(AD52:AD71)-1)</f>
        <v>19</v>
      </c>
      <c r="AE75" s="264">
        <f>IF(OR(ISNUMBER(AE$47),ISNUMBER(AE$44)),COUNT(AE52:AE71)-2,COUNT(AE52:AE71)-1)</f>
        <v>19</v>
      </c>
      <c r="AF75" s="264">
        <f>COUNT(AF52:AF71)-3</f>
        <v>17</v>
      </c>
      <c r="AG75" s="264">
        <f>COUNT(AG52:AG71)-3</f>
        <v>17</v>
      </c>
      <c r="AH75" s="38"/>
      <c r="AI75" s="113"/>
      <c r="AJ75" s="34"/>
      <c r="AK75" s="34"/>
      <c r="AL75" s="18"/>
    </row>
    <row r="76" spans="1:38" x14ac:dyDescent="0.2">
      <c r="A76" s="105"/>
      <c r="B76" s="114"/>
      <c r="C76" s="115" t="s">
        <v>37</v>
      </c>
      <c r="D76" s="94">
        <f t="shared" ref="D76:J76" si="57">COUNT(D52:D71)</f>
        <v>20</v>
      </c>
      <c r="E76" s="94">
        <f t="shared" si="57"/>
        <v>20</v>
      </c>
      <c r="F76" s="94">
        <f t="shared" si="57"/>
        <v>20</v>
      </c>
      <c r="G76" s="94">
        <f t="shared" ref="G76:I76" si="58">COUNT(G52:G71)</f>
        <v>20</v>
      </c>
      <c r="H76" s="94">
        <f t="shared" si="58"/>
        <v>20</v>
      </c>
      <c r="I76" s="94">
        <f t="shared" si="58"/>
        <v>20</v>
      </c>
      <c r="J76" s="94">
        <f t="shared" si="57"/>
        <v>20</v>
      </c>
      <c r="K76" s="110"/>
      <c r="L76" s="109" t="s">
        <v>184</v>
      </c>
      <c r="M76" s="89">
        <f t="shared" ref="M76:P77" si="59">M72/$F$133</f>
        <v>0.22993753662223487</v>
      </c>
      <c r="N76" s="89">
        <f t="shared" si="59"/>
        <v>0.22993753662223487</v>
      </c>
      <c r="O76" s="89">
        <f t="shared" si="59"/>
        <v>0.25471292158288622</v>
      </c>
      <c r="P76" s="90">
        <f t="shared" si="59"/>
        <v>0.25471292158288622</v>
      </c>
      <c r="Q76" s="18"/>
      <c r="R76" s="105"/>
      <c r="S76" s="114"/>
      <c r="T76" s="115" t="s">
        <v>37</v>
      </c>
      <c r="U76" s="94">
        <f t="shared" ref="U76:AA76" si="60">COUNT(U52:U71)</f>
        <v>20</v>
      </c>
      <c r="V76" s="94">
        <f t="shared" si="60"/>
        <v>20</v>
      </c>
      <c r="W76" s="94">
        <f t="shared" si="60"/>
        <v>20</v>
      </c>
      <c r="X76" s="94">
        <f t="shared" ref="X76:Z76" si="61">COUNT(X52:X71)</f>
        <v>20</v>
      </c>
      <c r="Y76" s="94">
        <f t="shared" si="61"/>
        <v>20</v>
      </c>
      <c r="Z76" s="94">
        <f t="shared" si="61"/>
        <v>20</v>
      </c>
      <c r="AA76" s="94">
        <f t="shared" si="60"/>
        <v>20</v>
      </c>
      <c r="AB76" s="120"/>
      <c r="AC76" s="121" t="s">
        <v>186</v>
      </c>
      <c r="AD76" s="95">
        <f t="shared" ref="AD76:AG77" si="62">100*EXP(AD72/100)-100</f>
        <v>0.59823036389150275</v>
      </c>
      <c r="AE76" s="95">
        <f t="shared" si="62"/>
        <v>0.59823036389150275</v>
      </c>
      <c r="AF76" s="95">
        <f t="shared" si="62"/>
        <v>0.66261546415520911</v>
      </c>
      <c r="AG76" s="96">
        <f t="shared" si="62"/>
        <v>0.66261546415520911</v>
      </c>
      <c r="AH76" s="38"/>
      <c r="AI76" s="113"/>
      <c r="AJ76" s="34"/>
      <c r="AK76" s="34"/>
      <c r="AL76" s="18"/>
    </row>
    <row r="77" spans="1:38" x14ac:dyDescent="0.2">
      <c r="A77" s="105"/>
      <c r="B77" s="114"/>
      <c r="C77" s="115"/>
      <c r="D77" s="115"/>
      <c r="E77" s="115"/>
      <c r="F77" s="16"/>
      <c r="G77" s="16"/>
      <c r="H77" s="16"/>
      <c r="I77" s="16"/>
      <c r="J77" s="16"/>
      <c r="K77" s="116"/>
      <c r="L77" s="117" t="s">
        <v>185</v>
      </c>
      <c r="M77" s="92">
        <f t="shared" si="59"/>
        <v>0.6988392176816528</v>
      </c>
      <c r="N77" s="92">
        <f t="shared" si="59"/>
        <v>0.6988392176816528</v>
      </c>
      <c r="O77" s="92">
        <f t="shared" si="59"/>
        <v>0.71666850039346641</v>
      </c>
      <c r="P77" s="93">
        <f t="shared" si="59"/>
        <v>0.71666850039346641</v>
      </c>
      <c r="Q77" s="18"/>
      <c r="R77" s="105"/>
      <c r="S77" s="114"/>
      <c r="T77" s="115" t="s">
        <v>6</v>
      </c>
      <c r="U77" s="97" t="str">
        <f>IF(U72=D72,"",EXP(U72/100))</f>
        <v/>
      </c>
      <c r="V77" s="97">
        <f>IF(V72=E72,"",EXP(V72/100))</f>
        <v>401.61644944166022</v>
      </c>
      <c r="W77" s="97">
        <f t="shared" ref="W77:AA77" si="63">EXP(W72/100)</f>
        <v>399.87754819479977</v>
      </c>
      <c r="X77" s="97">
        <f t="shared" si="63"/>
        <v>403.36291244726436</v>
      </c>
      <c r="Y77" s="97">
        <f t="shared" si="63"/>
        <v>404.01904098860393</v>
      </c>
      <c r="Z77" s="97">
        <f t="shared" si="63"/>
        <v>401.52418102648198</v>
      </c>
      <c r="AA77" s="97">
        <f t="shared" si="63"/>
        <v>402.34728070747678</v>
      </c>
      <c r="AB77" s="122"/>
      <c r="AC77" s="117" t="s">
        <v>77</v>
      </c>
      <c r="AD77" s="98">
        <f t="shared" si="62"/>
        <v>1.8442324202686819</v>
      </c>
      <c r="AE77" s="98">
        <f t="shared" si="62"/>
        <v>1.8442324202686819</v>
      </c>
      <c r="AF77" s="98">
        <f t="shared" si="62"/>
        <v>1.8956993180143229</v>
      </c>
      <c r="AG77" s="99">
        <f t="shared" si="62"/>
        <v>1.8956993180143229</v>
      </c>
      <c r="AH77" s="38"/>
      <c r="AI77" s="113"/>
      <c r="AJ77" s="34"/>
      <c r="AK77" s="34"/>
      <c r="AL77" s="18"/>
    </row>
    <row r="78" spans="1:38" ht="15" customHeight="1" x14ac:dyDescent="0.2">
      <c r="A78" s="105"/>
      <c r="B78" s="114"/>
      <c r="C78" s="18"/>
      <c r="D78" s="18"/>
      <c r="E78" s="18"/>
      <c r="F78" s="18"/>
      <c r="G78" s="16"/>
      <c r="H78" s="16"/>
      <c r="I78" s="16"/>
      <c r="J78" s="16"/>
      <c r="K78" s="16"/>
      <c r="L78" s="16"/>
      <c r="M78" s="16"/>
      <c r="N78" s="16"/>
      <c r="O78" s="16"/>
      <c r="P78" s="16"/>
      <c r="Q78" s="18"/>
      <c r="R78" s="105"/>
      <c r="S78" s="114"/>
      <c r="T78" s="115" t="s">
        <v>7</v>
      </c>
      <c r="U78" s="97" t="str">
        <f>IF(U72=D72,"",100*EXP(U73/100)-100)</f>
        <v/>
      </c>
      <c r="V78" s="97">
        <f>IF(V72=E72,"",100*EXP(V73/100)-100)</f>
        <v>2.2260617651188994</v>
      </c>
      <c r="W78" s="97">
        <f t="shared" ref="W78:AA78" si="64">100*EXP(W73/100)-100</f>
        <v>2.5149404543923595</v>
      </c>
      <c r="X78" s="97">
        <f t="shared" si="64"/>
        <v>2.3304708692609069</v>
      </c>
      <c r="Y78" s="97">
        <f t="shared" si="64"/>
        <v>2.5501217390092563</v>
      </c>
      <c r="Z78" s="97">
        <f t="shared" si="64"/>
        <v>2.0801608131229017</v>
      </c>
      <c r="AA78" s="97">
        <f t="shared" si="64"/>
        <v>2.7200449788280281</v>
      </c>
      <c r="AB78" s="110"/>
      <c r="AC78" s="109" t="s">
        <v>187</v>
      </c>
      <c r="AD78" s="265">
        <f t="shared" ref="AD78:AG79" si="65">EXP(AD72/100)</f>
        <v>1.0059823036389151</v>
      </c>
      <c r="AE78" s="265">
        <f t="shared" si="65"/>
        <v>1.0059823036389151</v>
      </c>
      <c r="AF78" s="265">
        <f t="shared" si="65"/>
        <v>1.006626154641552</v>
      </c>
      <c r="AG78" s="266">
        <f t="shared" si="65"/>
        <v>1.006626154641552</v>
      </c>
      <c r="AH78" s="38"/>
      <c r="AI78" s="113"/>
      <c r="AJ78" s="34"/>
      <c r="AK78" s="34"/>
      <c r="AL78" s="18"/>
    </row>
    <row r="79" spans="1:38" x14ac:dyDescent="0.2">
      <c r="A79" s="105"/>
      <c r="B79" s="124"/>
      <c r="C79" s="18"/>
      <c r="D79" s="18"/>
      <c r="E79" s="18"/>
      <c r="F79" s="18"/>
      <c r="G79" s="16"/>
      <c r="H79" s="16"/>
      <c r="I79" s="16"/>
      <c r="J79" s="16"/>
      <c r="K79" s="16"/>
      <c r="L79" s="16"/>
      <c r="M79" s="16"/>
      <c r="N79" s="16"/>
      <c r="O79" s="16"/>
      <c r="P79" s="16"/>
      <c r="Q79" s="18"/>
      <c r="R79" s="105"/>
      <c r="S79" s="114"/>
      <c r="T79" s="115" t="s">
        <v>8</v>
      </c>
      <c r="U79" s="91" t="str">
        <f>IF(U72=D72,"",EXP(U73/100))</f>
        <v/>
      </c>
      <c r="V79" s="91">
        <f>IF(V72=E72,"",EXP(V73/100))</f>
        <v>1.022260617651189</v>
      </c>
      <c r="W79" s="91">
        <f t="shared" ref="W79:AA79" si="66">EXP(W73/100)</f>
        <v>1.0251494045439236</v>
      </c>
      <c r="X79" s="91">
        <f t="shared" si="66"/>
        <v>1.023304708692609</v>
      </c>
      <c r="Y79" s="91">
        <f t="shared" si="66"/>
        <v>1.0255012173900926</v>
      </c>
      <c r="Z79" s="91">
        <f t="shared" si="66"/>
        <v>1.020801608131229</v>
      </c>
      <c r="AA79" s="91">
        <f t="shared" si="66"/>
        <v>1.0272004497882803</v>
      </c>
      <c r="AB79" s="116"/>
      <c r="AC79" s="117" t="s">
        <v>78</v>
      </c>
      <c r="AD79" s="92">
        <f t="shared" si="65"/>
        <v>1.0184423242026868</v>
      </c>
      <c r="AE79" s="92">
        <f t="shared" si="65"/>
        <v>1.0184423242026868</v>
      </c>
      <c r="AF79" s="92">
        <f t="shared" si="65"/>
        <v>1.0189569931801432</v>
      </c>
      <c r="AG79" s="93">
        <f t="shared" si="65"/>
        <v>1.0189569931801432</v>
      </c>
      <c r="AH79" s="38"/>
      <c r="AI79" s="113"/>
      <c r="AJ79" s="34"/>
      <c r="AK79" s="34"/>
      <c r="AL79" s="18"/>
    </row>
    <row r="80" spans="1:38" x14ac:dyDescent="0.2">
      <c r="A80" s="105"/>
      <c r="B80" s="267" t="s">
        <v>132</v>
      </c>
      <c r="C80" s="268">
        <f t="array" ref="C80:E82">LINEST(M52:M71,D52:E71,1,1)</f>
        <v>-0.2208749351497486</v>
      </c>
      <c r="D80" s="268">
        <v>-0.12440417183863503</v>
      </c>
      <c r="E80" s="269">
        <v>92.308998829554881</v>
      </c>
      <c r="F80" s="270"/>
      <c r="G80" s="16"/>
      <c r="H80" s="16"/>
      <c r="I80" s="16"/>
      <c r="J80" s="16"/>
      <c r="K80" s="16"/>
      <c r="L80" s="16"/>
      <c r="M80" s="16"/>
      <c r="N80" s="16"/>
      <c r="O80" s="16"/>
      <c r="P80" s="16"/>
      <c r="Q80" s="18"/>
      <c r="R80" s="105"/>
      <c r="S80" s="267" t="s">
        <v>132</v>
      </c>
      <c r="T80" s="268">
        <f t="array" ref="T80:V82">LINEST(AD52:AD71,U52:V71,1,1)</f>
        <v>-0.21773425352794029</v>
      </c>
      <c r="U80" s="268">
        <v>-3.4468671748984242E-2</v>
      </c>
      <c r="V80" s="279">
        <v>131.46228207527949</v>
      </c>
      <c r="W80" s="280"/>
      <c r="X80" s="125"/>
      <c r="Y80" s="125"/>
      <c r="Z80" s="125"/>
      <c r="AA80" s="125"/>
      <c r="AB80" s="110"/>
      <c r="AC80" s="109" t="s">
        <v>184</v>
      </c>
      <c r="AD80" s="89">
        <f t="shared" ref="AD80:AG81" si="67">AD72/$W$133</f>
        <v>0.22992463503411753</v>
      </c>
      <c r="AE80" s="89">
        <f t="shared" si="67"/>
        <v>0.22992463503411753</v>
      </c>
      <c r="AF80" s="89">
        <f t="shared" si="67"/>
        <v>0.25458894450348063</v>
      </c>
      <c r="AG80" s="90">
        <f t="shared" si="67"/>
        <v>0.25458894450348063</v>
      </c>
      <c r="AH80" s="38"/>
      <c r="AI80" s="113"/>
      <c r="AJ80" s="34"/>
      <c r="AK80" s="34"/>
      <c r="AL80" s="18"/>
    </row>
    <row r="81" spans="1:38" x14ac:dyDescent="0.2">
      <c r="A81" s="105"/>
      <c r="B81" s="271" t="s">
        <v>133</v>
      </c>
      <c r="C81" s="272">
        <v>0.23163988305309247</v>
      </c>
      <c r="D81" s="272">
        <v>0.64958932975837658</v>
      </c>
      <c r="E81" s="273">
        <v>96.547946835021335</v>
      </c>
      <c r="F81" s="274" t="s">
        <v>134</v>
      </c>
      <c r="G81" s="16"/>
      <c r="H81" s="16"/>
      <c r="I81" s="16"/>
      <c r="J81" s="16"/>
      <c r="K81" s="18"/>
      <c r="L81" s="18"/>
      <c r="M81" s="16"/>
      <c r="N81" s="16"/>
      <c r="O81" s="16"/>
      <c r="P81" s="16"/>
      <c r="Q81" s="18"/>
      <c r="R81" s="105"/>
      <c r="S81" s="271" t="s">
        <v>133</v>
      </c>
      <c r="T81" s="272">
        <v>0.2344214496965539</v>
      </c>
      <c r="U81" s="272">
        <v>0.16267423722120578</v>
      </c>
      <c r="V81" s="272">
        <v>141.39384871622329</v>
      </c>
      <c r="W81" s="281" t="s">
        <v>134</v>
      </c>
      <c r="X81" s="125"/>
      <c r="Y81" s="125"/>
      <c r="Z81" s="125"/>
      <c r="AA81" s="125"/>
      <c r="AB81" s="116"/>
      <c r="AC81" s="117" t="s">
        <v>185</v>
      </c>
      <c r="AD81" s="92">
        <f t="shared" si="67"/>
        <v>0.70445662427952149</v>
      </c>
      <c r="AE81" s="92">
        <f t="shared" si="67"/>
        <v>0.70445662427952149</v>
      </c>
      <c r="AF81" s="92">
        <f t="shared" si="67"/>
        <v>0.72393239743620807</v>
      </c>
      <c r="AG81" s="93">
        <f t="shared" si="67"/>
        <v>0.72393239743620807</v>
      </c>
      <c r="AH81" s="38"/>
      <c r="AI81" s="113"/>
      <c r="AJ81" s="34"/>
      <c r="AK81" s="34"/>
      <c r="AL81" s="18"/>
    </row>
    <row r="82" spans="1:38" s="1" customFormat="1" x14ac:dyDescent="0.2">
      <c r="A82" s="105"/>
      <c r="B82" s="275"/>
      <c r="C82" s="276">
        <v>5.9026450894958678E-2</v>
      </c>
      <c r="D82" s="276">
        <v>7.5114794709913966</v>
      </c>
      <c r="E82" s="277" t="e">
        <v>#N/A</v>
      </c>
      <c r="F82" s="278">
        <f>SQRT(D82^2/F76+(O44-D72)^2*D81^2 +(P44-E72)^2*C81^2-2*CORREL(D52:D71,E52:E71)*(O44-D72)*D81 *(P44-E72)*C81)</f>
        <v>1.6983475760449458</v>
      </c>
      <c r="G82" s="16"/>
      <c r="H82" s="16"/>
      <c r="I82" s="16"/>
      <c r="J82" s="16"/>
      <c r="K82" s="54"/>
      <c r="L82" s="127"/>
      <c r="M82" s="16"/>
      <c r="N82" s="16"/>
      <c r="O82" s="16"/>
      <c r="P82" s="16"/>
      <c r="Q82" s="18"/>
      <c r="R82" s="105"/>
      <c r="S82" s="275"/>
      <c r="T82" s="276">
        <v>5.5106566222203723E-2</v>
      </c>
      <c r="U82" s="276">
        <v>1.8779548423676968</v>
      </c>
      <c r="V82" s="276" t="e">
        <v>#N/A</v>
      </c>
      <c r="W82" s="282">
        <f>SQRT(U82^2/W76+(AF44-U72)^2*U81^2 +(AG44-V72)^2*T81^2-2*CORREL(U52:U71,V52:V71)*(AF44-U72)*U81 *(AG44-V72)*T81)</f>
        <v>0.42481159647709865</v>
      </c>
      <c r="X82" s="16"/>
      <c r="Y82" s="16"/>
      <c r="Z82" s="16"/>
      <c r="AA82" s="16"/>
      <c r="AB82" s="18"/>
      <c r="AC82" s="18"/>
      <c r="AD82" s="18"/>
      <c r="AE82" s="18"/>
      <c r="AF82" s="18"/>
      <c r="AG82" s="18"/>
      <c r="AH82" s="38"/>
      <c r="AI82" s="113"/>
      <c r="AJ82" s="34"/>
      <c r="AK82" s="34"/>
      <c r="AL82" s="18"/>
    </row>
    <row r="83" spans="1:38" s="1" customFormat="1" ht="14.45" customHeight="1" x14ac:dyDescent="0.2">
      <c r="A83" s="16"/>
      <c r="B83" s="16"/>
      <c r="C83" s="16"/>
      <c r="D83" s="16"/>
      <c r="E83" s="16"/>
      <c r="F83" s="16"/>
      <c r="G83" s="16"/>
      <c r="H83" s="16"/>
      <c r="I83" s="16"/>
      <c r="J83" s="16"/>
      <c r="K83" s="54"/>
      <c r="L83" s="19"/>
      <c r="M83" s="552" t="s">
        <v>123</v>
      </c>
      <c r="N83" s="552"/>
      <c r="O83" s="552" t="s">
        <v>124</v>
      </c>
      <c r="P83" s="552"/>
      <c r="Q83" s="16"/>
      <c r="R83" s="16"/>
      <c r="S83" s="16"/>
      <c r="T83" s="16"/>
      <c r="U83" s="16"/>
      <c r="V83" s="16"/>
      <c r="W83" s="16"/>
      <c r="X83" s="16"/>
      <c r="Y83" s="16"/>
      <c r="Z83" s="16"/>
      <c r="AA83" s="16"/>
      <c r="AB83" s="18"/>
      <c r="AC83" s="127"/>
      <c r="AD83" s="552" t="s">
        <v>123</v>
      </c>
      <c r="AE83" s="552"/>
      <c r="AF83" s="552" t="s">
        <v>124</v>
      </c>
      <c r="AG83" s="552"/>
      <c r="AH83" s="38"/>
      <c r="AI83" s="550" t="s">
        <v>265</v>
      </c>
      <c r="AJ83" s="550"/>
      <c r="AK83" s="550"/>
      <c r="AL83" s="550"/>
    </row>
    <row r="84" spans="1:38" ht="40.35" customHeight="1" x14ac:dyDescent="0.25">
      <c r="A84" s="396"/>
      <c r="B84" s="85" t="str">
        <f t="shared" ref="B84:J84" si="68">B51</f>
        <v>Group</v>
      </c>
      <c r="C84" s="85" t="str">
        <f t="shared" si="68"/>
        <v>Name</v>
      </c>
      <c r="D84" s="88" t="str">
        <f t="shared" si="68"/>
        <v>X1</v>
      </c>
      <c r="E84" s="88" t="str">
        <f t="shared" si="68"/>
        <v>X2</v>
      </c>
      <c r="F84" s="88" t="str">
        <f t="shared" si="68"/>
        <v>Pre1</v>
      </c>
      <c r="G84" s="88" t="str">
        <f t="shared" ref="G84:I84" si="69">G51</f>
        <v>Pre2</v>
      </c>
      <c r="H84" s="88" t="str">
        <f t="shared" si="69"/>
        <v>Post1</v>
      </c>
      <c r="I84" s="88" t="str">
        <f t="shared" si="69"/>
        <v>Post2</v>
      </c>
      <c r="J84" s="88" t="str">
        <f t="shared" si="68"/>
        <v>Post3</v>
      </c>
      <c r="K84" s="87"/>
      <c r="L84" s="87"/>
      <c r="M84" s="188" t="str">
        <f>M50</f>
        <v>Custom effect, not adjusted</v>
      </c>
      <c r="N84" s="188" t="str">
        <f>N50</f>
        <v>Custom effect, not adjusted</v>
      </c>
      <c r="O84" s="188" t="str">
        <f>O50</f>
        <v>Custom effect, adjusted</v>
      </c>
      <c r="P84" s="188" t="str">
        <f>P50</f>
        <v>Custom effect, adjusted</v>
      </c>
      <c r="Q84" s="18"/>
      <c r="R84" s="106"/>
      <c r="S84" s="85" t="str">
        <f t="shared" ref="S84:T84" si="70">S51</f>
        <v>Group</v>
      </c>
      <c r="T84" s="85" t="str">
        <f t="shared" si="70"/>
        <v>Name</v>
      </c>
      <c r="U84" s="88" t="str">
        <f t="shared" ref="U84:AA84" si="71">U51</f>
        <v>X1</v>
      </c>
      <c r="V84" s="88" t="str">
        <f t="shared" si="71"/>
        <v>X2</v>
      </c>
      <c r="W84" s="88" t="str">
        <f t="shared" si="71"/>
        <v>Pre1</v>
      </c>
      <c r="X84" s="88" t="str">
        <f t="shared" ref="X84:Z84" si="72">X51</f>
        <v>Pre2</v>
      </c>
      <c r="Y84" s="88" t="str">
        <f t="shared" si="72"/>
        <v>Post1</v>
      </c>
      <c r="Z84" s="88" t="str">
        <f t="shared" si="72"/>
        <v>Post2</v>
      </c>
      <c r="AA84" s="88" t="str">
        <f t="shared" si="71"/>
        <v>Post3</v>
      </c>
      <c r="AB84" s="87"/>
      <c r="AC84" s="87"/>
      <c r="AD84" s="188" t="str">
        <f>AD50</f>
        <v>Custom effect, not adjusted</v>
      </c>
      <c r="AE84" s="188" t="str">
        <f>AE50</f>
        <v>Custom effect, not adjusted</v>
      </c>
      <c r="AF84" s="188" t="str">
        <f>AF50</f>
        <v>Custom effect, adjusted</v>
      </c>
      <c r="AG84" s="188" t="str">
        <f>AG50</f>
        <v>Custom effect, adjusted</v>
      </c>
      <c r="AH84" s="18"/>
      <c r="AI84" s="444" t="str">
        <f>AD84</f>
        <v>Custom effect, not adjusted</v>
      </c>
      <c r="AJ84" s="444" t="str">
        <f t="shared" ref="AJ84:AK84" si="73">AE84</f>
        <v>Custom effect, not adjusted</v>
      </c>
      <c r="AK84" s="444" t="str">
        <f t="shared" si="73"/>
        <v>Custom effect, adjusted</v>
      </c>
      <c r="AL84" s="444" t="str">
        <f>AG84</f>
        <v>Custom effect, adjusted</v>
      </c>
    </row>
    <row r="85" spans="1:38" x14ac:dyDescent="0.2">
      <c r="A85" s="396"/>
      <c r="B85" s="101" t="s">
        <v>18</v>
      </c>
      <c r="C85" s="103" t="s">
        <v>28</v>
      </c>
      <c r="D85" s="10">
        <v>15.9</v>
      </c>
      <c r="E85" s="56">
        <f>IF(SUMIFS(F$48:J$48,F85:J85,""),"",SUMPRODUCT(F$48:J$48,F85:J85)/SUM(F$48:J$48))</f>
        <v>398.1</v>
      </c>
      <c r="F85" s="10">
        <v>398.9</v>
      </c>
      <c r="G85" s="10">
        <v>397.3</v>
      </c>
      <c r="H85" s="10">
        <v>397.4</v>
      </c>
      <c r="I85" s="10">
        <v>398.1</v>
      </c>
      <c r="J85" s="10">
        <v>386</v>
      </c>
      <c r="K85" s="315" t="str">
        <f t="shared" ref="K85:K104" si="74">IF(SUMIFS(F$50:J$50,F85:J85,"",F$50:J$50,"&gt;0")-SUMIFS(F$50:J$50,F85:J85,"",F$50:J$50,"&lt;0"),"Missing data: clear the custom effect.","")</f>
        <v/>
      </c>
      <c r="L85" s="316"/>
      <c r="M85" s="57">
        <f t="shared" ref="M85:M104" si="75">SUMPRODUCT(F$50:J$50,F85:J85)</f>
        <v>-0.70000000000004547</v>
      </c>
      <c r="N85" s="57">
        <f>IF(ISBLANK(M85),"",M85)</f>
        <v>-0.70000000000004547</v>
      </c>
      <c r="O85" s="57">
        <f t="shared" ref="O85:O104" si="76">M85-(E85-P$44)*C$113</f>
        <v>-1.2969848082926136</v>
      </c>
      <c r="P85" s="57">
        <f t="shared" ref="P85:P104" si="77">M85-(D85-O$44)*D$113</f>
        <v>11.26576705006244</v>
      </c>
      <c r="Q85" s="315" t="str">
        <f t="shared" ref="Q85:Q104" si="78">IF(AND(ISNUMBER(D85),ISNUMBER(E85),ISNUMBER(M85),ISNUMBER(N85)),"","To adjust for both predictors, delete this entire row.")</f>
        <v/>
      </c>
      <c r="R85" s="106"/>
      <c r="S85" s="30" t="str">
        <f t="shared" ref="S85:S104" si="79">B85</f>
        <v>Exptal</v>
      </c>
      <c r="T85" s="30" t="str">
        <f t="shared" ref="T85:T104" si="80">C85</f>
        <v>Kerry</v>
      </c>
      <c r="U85" s="56">
        <f>IF(ISNUMBER(D85),D85,"miss")</f>
        <v>15.9</v>
      </c>
      <c r="V85" s="56">
        <f>IF(_xlfn.ISFORMULA(E85),IF(SUMIFS(W$48:AA$48,W85:AA85,""),"",SUMPRODUCT(W$48:AA$48,W85:AA85)/SUM(W$48:AA$48)),E85)</f>
        <v>598.67012108659571</v>
      </c>
      <c r="W85" s="57">
        <f t="shared" ref="W85:W104" si="81">100*LN(F85)</f>
        <v>598.87107589113612</v>
      </c>
      <c r="X85" s="57">
        <f t="shared" ref="X85:X104" si="82">100*LN(G85)</f>
        <v>598.46916628205531</v>
      </c>
      <c r="Y85" s="57">
        <f t="shared" ref="Y85:Y104" si="83">100*LN(H85)</f>
        <v>598.49433301177169</v>
      </c>
      <c r="Z85" s="57">
        <f t="shared" ref="Z85:Z104" si="84">100*LN(I85)</f>
        <v>598.67032300062715</v>
      </c>
      <c r="AA85" s="57">
        <f t="shared" ref="AA85:AA104" si="85">100*LN(J85)</f>
        <v>595.5837369464831</v>
      </c>
      <c r="AB85" s="320" t="str">
        <f t="shared" ref="AB85:AB104" si="86">IF(SUMIFS(W$109:AA$109,W85:AA85,"#num!"),"Clear the #NUM! dependent value.",IF(SUMIFS(W$50:AA$50,W85:AA85,"",W$50:AA$50,"&gt;0")-SUMIFS(W$50:AA$50,W85:AA85,"",W$50:AA$50,"&lt;0"),"Now clear the custom effect.",""))</f>
        <v/>
      </c>
      <c r="AC85" s="321"/>
      <c r="AD85" s="57">
        <f t="shared" ref="AD85:AD104" si="87">SUMPRODUCT(W$50:AA$50,W85:AA85)</f>
        <v>-0.17578807482402681</v>
      </c>
      <c r="AE85" s="57">
        <f>IF(ISBLANK(AD85),"",AD85)</f>
        <v>-0.17578807482402681</v>
      </c>
      <c r="AF85" s="57">
        <f t="shared" ref="AF85:AF104" si="88">AD85-(V85-AG$44)*T$113</f>
        <v>-0.33120641429438369</v>
      </c>
      <c r="AG85" s="57">
        <f t="shared" ref="AG85:AG104" si="89">AD85-(U85-AF$44)*U$113</f>
        <v>2.7502237813621746</v>
      </c>
      <c r="AH85" s="315" t="str">
        <f t="shared" ref="AH85:AH104" si="90">IF(AND(ISNUMBER(U85),ISNUMBER(V85),ISNUMBER(AD85),ISNUMBER(AE85)),"","To adjust for both predictors, delete this entire row.")</f>
        <v/>
      </c>
      <c r="AI85" s="313">
        <f>EXP(AD85/100)</f>
        <v>0.99824366341916904</v>
      </c>
      <c r="AJ85" s="313">
        <f t="shared" ref="AJ85:AJ104" si="91">EXP(AE85/100)</f>
        <v>0.99824366341916904</v>
      </c>
      <c r="AK85" s="313">
        <f t="shared" ref="AK85:AK104" si="92">EXP(AF85/100)</f>
        <v>0.99669341469108064</v>
      </c>
      <c r="AL85" s="313">
        <f t="shared" ref="AL85:AL104" si="93">EXP(AG85/100)</f>
        <v>1.0278839153173063</v>
      </c>
    </row>
    <row r="86" spans="1:38" x14ac:dyDescent="0.2">
      <c r="A86" s="396"/>
      <c r="B86" s="102" t="str">
        <f>$B$85</f>
        <v>Exptal</v>
      </c>
      <c r="C86" s="103" t="s">
        <v>34</v>
      </c>
      <c r="D86" s="10">
        <v>11.5</v>
      </c>
      <c r="E86" s="56">
        <f t="shared" ref="E86:E104" si="94">IF(SUMIFS(F$48:J$48,F86:J86,""),"",SUMPRODUCT(F$48:J$48,F86:J86)/SUM(F$48:J$48))</f>
        <v>402.05</v>
      </c>
      <c r="F86" s="10">
        <v>403.6</v>
      </c>
      <c r="G86" s="10">
        <v>400.5</v>
      </c>
      <c r="H86" s="10">
        <v>387.3</v>
      </c>
      <c r="I86" s="10">
        <v>393.9</v>
      </c>
      <c r="J86" s="10">
        <v>393.1</v>
      </c>
      <c r="K86" s="315" t="str">
        <f t="shared" si="74"/>
        <v/>
      </c>
      <c r="L86" s="316"/>
      <c r="M86" s="57">
        <f t="shared" si="75"/>
        <v>-14.75</v>
      </c>
      <c r="N86" s="57">
        <f t="shared" ref="N86:N104" si="95">IF(ISBLANK(M86),"",M86)</f>
        <v>-14.75</v>
      </c>
      <c r="O86" s="57">
        <f t="shared" si="76"/>
        <v>-14.347794133396118</v>
      </c>
      <c r="P86" s="57">
        <f t="shared" si="77"/>
        <v>-11.072210127469972</v>
      </c>
      <c r="Q86" s="315" t="str">
        <f t="shared" si="78"/>
        <v/>
      </c>
      <c r="R86" s="106"/>
      <c r="S86" s="30" t="str">
        <f t="shared" si="79"/>
        <v>Exptal</v>
      </c>
      <c r="T86" s="30" t="str">
        <f t="shared" si="80"/>
        <v>Kim</v>
      </c>
      <c r="U86" s="56">
        <f t="shared" ref="U86:U104" si="96">IF(ISNUMBER(D86),D86,"miss")</f>
        <v>11.5</v>
      </c>
      <c r="V86" s="56">
        <f t="shared" ref="V86:V104" si="97">IF(_xlfn.ISFORMULA(E86),IF(SUMIFS(W$48:AA$48,W86:AA86,""),"",SUMPRODUCT(W$48:AA$48,W86:AA86)/SUM(W$48:AA$48)),E86)</f>
        <v>599.65690274939334</v>
      </c>
      <c r="W86" s="57">
        <f t="shared" si="81"/>
        <v>600.04242884794542</v>
      </c>
      <c r="X86" s="57">
        <f t="shared" si="82"/>
        <v>599.27137665084138</v>
      </c>
      <c r="Y86" s="57">
        <f t="shared" si="83"/>
        <v>595.9199586520707</v>
      </c>
      <c r="Z86" s="57">
        <f t="shared" si="84"/>
        <v>597.60970699768598</v>
      </c>
      <c r="AA86" s="57">
        <f t="shared" si="85"/>
        <v>597.40640324278149</v>
      </c>
      <c r="AB86" s="320" t="str">
        <f t="shared" si="86"/>
        <v/>
      </c>
      <c r="AC86" s="321"/>
      <c r="AD86" s="57">
        <f t="shared" si="87"/>
        <v>-3.7369440973226347</v>
      </c>
      <c r="AE86" s="57">
        <f t="shared" ref="AE86:AE104" si="98">IF(ISBLANK(AD86),"",AD86)</f>
        <v>-3.7369440973226347</v>
      </c>
      <c r="AF86" s="57">
        <f t="shared" si="88"/>
        <v>-3.618137260078047</v>
      </c>
      <c r="AG86" s="57">
        <f t="shared" si="89"/>
        <v>-2.8376071198801225</v>
      </c>
      <c r="AH86" s="315" t="str">
        <f t="shared" si="90"/>
        <v/>
      </c>
      <c r="AI86" s="313">
        <f t="shared" ref="AI86:AI104" si="99">EXP(AD86/100)</f>
        <v>0.96332017965609251</v>
      </c>
      <c r="AJ86" s="313">
        <f t="shared" si="91"/>
        <v>0.96332017965609251</v>
      </c>
      <c r="AK86" s="313">
        <f t="shared" si="92"/>
        <v>0.96446535002973055</v>
      </c>
      <c r="AL86" s="313">
        <f t="shared" si="93"/>
        <v>0.97202274829604751</v>
      </c>
    </row>
    <row r="87" spans="1:38" x14ac:dyDescent="0.2">
      <c r="A87" s="396"/>
      <c r="B87" s="102" t="str">
        <f t="shared" ref="B87:B104" si="100">$B$85</f>
        <v>Exptal</v>
      </c>
      <c r="C87" s="103" t="s">
        <v>50</v>
      </c>
      <c r="D87" s="10">
        <v>5.0999999999999996</v>
      </c>
      <c r="E87" s="56">
        <f t="shared" si="94"/>
        <v>422.2</v>
      </c>
      <c r="F87" s="10">
        <v>425</v>
      </c>
      <c r="G87" s="10">
        <v>419.4</v>
      </c>
      <c r="H87" s="10">
        <v>438</v>
      </c>
      <c r="I87" s="10">
        <v>413.3</v>
      </c>
      <c r="J87" s="10">
        <v>422.5</v>
      </c>
      <c r="K87" s="315" t="str">
        <f t="shared" si="74"/>
        <v/>
      </c>
      <c r="L87" s="316"/>
      <c r="M87" s="57">
        <f t="shared" si="75"/>
        <v>15.800000000000011</v>
      </c>
      <c r="N87" s="57">
        <f t="shared" si="95"/>
        <v>15.800000000000011</v>
      </c>
      <c r="O87" s="57">
        <f t="shared" si="76"/>
        <v>21.299343106898455</v>
      </c>
      <c r="P87" s="57">
        <f t="shared" si="77"/>
        <v>7.4225503415737393</v>
      </c>
      <c r="Q87" s="315" t="str">
        <f t="shared" si="78"/>
        <v/>
      </c>
      <c r="R87" s="106"/>
      <c r="S87" s="30" t="str">
        <f t="shared" si="79"/>
        <v>Exptal</v>
      </c>
      <c r="T87" s="30" t="str">
        <f t="shared" si="80"/>
        <v>Kylie</v>
      </c>
      <c r="U87" s="56">
        <f t="shared" si="96"/>
        <v>5.0999999999999996</v>
      </c>
      <c r="V87" s="56">
        <f t="shared" si="97"/>
        <v>604.54571436961191</v>
      </c>
      <c r="W87" s="57">
        <f t="shared" si="81"/>
        <v>605.20891689244172</v>
      </c>
      <c r="X87" s="57">
        <f t="shared" si="82"/>
        <v>603.88251184678199</v>
      </c>
      <c r="Y87" s="57">
        <f t="shared" si="83"/>
        <v>608.22189103764458</v>
      </c>
      <c r="Z87" s="57">
        <f t="shared" si="84"/>
        <v>602.41737215176863</v>
      </c>
      <c r="AA87" s="57">
        <f t="shared" si="85"/>
        <v>604.61894467972286</v>
      </c>
      <c r="AB87" s="320" t="str">
        <f t="shared" si="86"/>
        <v/>
      </c>
      <c r="AC87" s="321"/>
      <c r="AD87" s="57">
        <f t="shared" si="87"/>
        <v>3.6761766680326673</v>
      </c>
      <c r="AE87" s="57">
        <f t="shared" si="98"/>
        <v>3.6761766680326673</v>
      </c>
      <c r="AF87" s="57">
        <f t="shared" si="88"/>
        <v>5.1535770837996573</v>
      </c>
      <c r="AG87" s="57">
        <f t="shared" si="89"/>
        <v>1.6276229127570865</v>
      </c>
      <c r="AH87" s="315" t="str">
        <f t="shared" si="90"/>
        <v/>
      </c>
      <c r="AI87" s="313">
        <f t="shared" si="99"/>
        <v>1.0374458372298558</v>
      </c>
      <c r="AJ87" s="313">
        <f t="shared" si="91"/>
        <v>1.0374458372298558</v>
      </c>
      <c r="AK87" s="313">
        <f t="shared" si="92"/>
        <v>1.0528868482634071</v>
      </c>
      <c r="AL87" s="313">
        <f t="shared" si="93"/>
        <v>1.0164094085165292</v>
      </c>
    </row>
    <row r="88" spans="1:38" x14ac:dyDescent="0.2">
      <c r="A88" s="396"/>
      <c r="B88" s="102" t="str">
        <f t="shared" si="100"/>
        <v>Exptal</v>
      </c>
      <c r="C88" s="103" t="s">
        <v>51</v>
      </c>
      <c r="D88" s="10">
        <v>9.5</v>
      </c>
      <c r="E88" s="56">
        <f t="shared" si="94"/>
        <v>396.45</v>
      </c>
      <c r="F88" s="10">
        <v>397.5</v>
      </c>
      <c r="G88" s="10">
        <v>395.4</v>
      </c>
      <c r="H88" s="10">
        <v>417.4</v>
      </c>
      <c r="I88" s="10">
        <v>400.7</v>
      </c>
      <c r="J88" s="10">
        <v>414.3</v>
      </c>
      <c r="K88" s="315" t="str">
        <f t="shared" si="74"/>
        <v/>
      </c>
      <c r="L88" s="316"/>
      <c r="M88" s="57">
        <f t="shared" si="75"/>
        <v>20.949999999999989</v>
      </c>
      <c r="N88" s="57">
        <f t="shared" si="95"/>
        <v>20.949999999999989</v>
      </c>
      <c r="O88" s="57">
        <f t="shared" si="76"/>
        <v>19.935631745231678</v>
      </c>
      <c r="P88" s="57">
        <f t="shared" si="77"/>
        <v>20.860527519106174</v>
      </c>
      <c r="Q88" s="315" t="str">
        <f t="shared" si="78"/>
        <v/>
      </c>
      <c r="R88" s="106"/>
      <c r="S88" s="30" t="str">
        <f t="shared" si="79"/>
        <v>Exptal</v>
      </c>
      <c r="T88" s="30" t="str">
        <f t="shared" si="80"/>
        <v>Lauren</v>
      </c>
      <c r="U88" s="56">
        <f t="shared" si="96"/>
        <v>9.5</v>
      </c>
      <c r="V88" s="56">
        <f t="shared" si="97"/>
        <v>598.25464224154507</v>
      </c>
      <c r="W88" s="57">
        <f t="shared" si="81"/>
        <v>598.51949340943861</v>
      </c>
      <c r="X88" s="57">
        <f t="shared" si="82"/>
        <v>597.98979107365165</v>
      </c>
      <c r="Y88" s="57">
        <f t="shared" si="83"/>
        <v>603.40449946430999</v>
      </c>
      <c r="Z88" s="57">
        <f t="shared" si="84"/>
        <v>599.32130176420992</v>
      </c>
      <c r="AA88" s="57">
        <f t="shared" si="85"/>
        <v>602.65903490833568</v>
      </c>
      <c r="AB88" s="320" t="str">
        <f t="shared" si="86"/>
        <v/>
      </c>
      <c r="AC88" s="321"/>
      <c r="AD88" s="57">
        <f t="shared" si="87"/>
        <v>5.149857222764922</v>
      </c>
      <c r="AE88" s="57">
        <f t="shared" si="98"/>
        <v>5.149857222764922</v>
      </c>
      <c r="AF88" s="57">
        <f t="shared" si="88"/>
        <v>4.8789779216646973</v>
      </c>
      <c r="AG88" s="57">
        <f t="shared" si="89"/>
        <v>5.1279783462330304</v>
      </c>
      <c r="AH88" s="315" t="str">
        <f t="shared" si="90"/>
        <v/>
      </c>
      <c r="AI88" s="313">
        <f t="shared" si="99"/>
        <v>1.0528476830642488</v>
      </c>
      <c r="AJ88" s="313">
        <f t="shared" si="91"/>
        <v>1.0528476830642488</v>
      </c>
      <c r="AK88" s="313">
        <f t="shared" si="92"/>
        <v>1.0499995957996535</v>
      </c>
      <c r="AL88" s="313">
        <f t="shared" si="93"/>
        <v>1.0526173570168968</v>
      </c>
    </row>
    <row r="89" spans="1:38" x14ac:dyDescent="0.2">
      <c r="A89" s="396"/>
      <c r="B89" s="102" t="str">
        <f t="shared" si="100"/>
        <v>Exptal</v>
      </c>
      <c r="C89" s="103" t="s">
        <v>29</v>
      </c>
      <c r="D89" s="10">
        <v>7.9</v>
      </c>
      <c r="E89" s="56">
        <f t="shared" si="94"/>
        <v>393.9</v>
      </c>
      <c r="F89" s="10">
        <v>390.7</v>
      </c>
      <c r="G89" s="10">
        <v>397.1</v>
      </c>
      <c r="H89" s="10">
        <v>409.4</v>
      </c>
      <c r="I89" s="10">
        <v>401.1</v>
      </c>
      <c r="J89" s="10">
        <v>410.7</v>
      </c>
      <c r="K89" s="315" t="str">
        <f t="shared" si="74"/>
        <v/>
      </c>
      <c r="L89" s="316"/>
      <c r="M89" s="57">
        <f t="shared" si="75"/>
        <v>15.5</v>
      </c>
      <c r="N89" s="57">
        <f t="shared" si="95"/>
        <v>15.5</v>
      </c>
      <c r="O89" s="57">
        <f t="shared" si="76"/>
        <v>13.84058460067828</v>
      </c>
      <c r="P89" s="57">
        <f t="shared" si="77"/>
        <v>12.396717636367111</v>
      </c>
      <c r="Q89" s="315" t="str">
        <f t="shared" si="78"/>
        <v/>
      </c>
      <c r="R89" s="106"/>
      <c r="S89" s="30" t="str">
        <f t="shared" si="79"/>
        <v>Exptal</v>
      </c>
      <c r="T89" s="30" t="str">
        <f t="shared" si="80"/>
        <v>Lee</v>
      </c>
      <c r="U89" s="56">
        <f t="shared" si="96"/>
        <v>7.9</v>
      </c>
      <c r="V89" s="56">
        <f t="shared" si="97"/>
        <v>597.60640700991155</v>
      </c>
      <c r="W89" s="57">
        <f t="shared" si="81"/>
        <v>596.79400020610251</v>
      </c>
      <c r="X89" s="57">
        <f t="shared" si="82"/>
        <v>598.41881381372059</v>
      </c>
      <c r="Y89" s="57">
        <f t="shared" si="83"/>
        <v>601.46926732271891</v>
      </c>
      <c r="Z89" s="57">
        <f t="shared" si="84"/>
        <v>599.42107727760072</v>
      </c>
      <c r="AA89" s="57">
        <f t="shared" si="85"/>
        <v>601.78630209625123</v>
      </c>
      <c r="AB89" s="320" t="str">
        <f t="shared" si="86"/>
        <v/>
      </c>
      <c r="AC89" s="321"/>
      <c r="AD89" s="57">
        <f t="shared" si="87"/>
        <v>3.8628603128073564</v>
      </c>
      <c r="AE89" s="57">
        <f t="shared" si="98"/>
        <v>3.8628603128073564</v>
      </c>
      <c r="AF89" s="57">
        <f t="shared" si="88"/>
        <v>3.4118373916447355</v>
      </c>
      <c r="AG89" s="57">
        <f t="shared" si="89"/>
        <v>3.1040087530959415</v>
      </c>
      <c r="AH89" s="315" t="str">
        <f t="shared" si="90"/>
        <v/>
      </c>
      <c r="AI89" s="313">
        <f t="shared" si="99"/>
        <v>1.0393843878468336</v>
      </c>
      <c r="AJ89" s="313">
        <f t="shared" si="91"/>
        <v>1.0393843878468336</v>
      </c>
      <c r="AK89" s="313">
        <f t="shared" si="92"/>
        <v>1.034707081808697</v>
      </c>
      <c r="AL89" s="313">
        <f t="shared" si="93"/>
        <v>1.0315268544224088</v>
      </c>
    </row>
    <row r="90" spans="1:38" x14ac:dyDescent="0.2">
      <c r="A90" s="396"/>
      <c r="B90" s="102" t="str">
        <f t="shared" si="100"/>
        <v>Exptal</v>
      </c>
      <c r="C90" s="103" t="s">
        <v>30</v>
      </c>
      <c r="D90" s="10">
        <v>7.2</v>
      </c>
      <c r="E90" s="56">
        <f t="shared" si="94"/>
        <v>386.65</v>
      </c>
      <c r="F90" s="10">
        <v>383.3</v>
      </c>
      <c r="G90" s="10">
        <v>390</v>
      </c>
      <c r="H90" s="10">
        <v>400.3</v>
      </c>
      <c r="I90" s="10">
        <v>395.7</v>
      </c>
      <c r="J90" s="10">
        <v>414</v>
      </c>
      <c r="K90" s="315" t="str">
        <f t="shared" si="74"/>
        <v/>
      </c>
      <c r="L90" s="316"/>
      <c r="M90" s="57">
        <f t="shared" si="75"/>
        <v>13.650000000000034</v>
      </c>
      <c r="N90" s="57">
        <f t="shared" si="95"/>
        <v>13.650000000000034</v>
      </c>
      <c r="O90" s="57">
        <f t="shared" si="76"/>
        <v>10.156627032830393</v>
      </c>
      <c r="P90" s="57">
        <f t="shared" si="77"/>
        <v>9.2281758126687983</v>
      </c>
      <c r="Q90" s="315" t="str">
        <f t="shared" si="78"/>
        <v/>
      </c>
      <c r="R90" s="106"/>
      <c r="S90" s="30" t="str">
        <f t="shared" si="79"/>
        <v>Exptal</v>
      </c>
      <c r="T90" s="30" t="str">
        <f t="shared" si="80"/>
        <v>Leslie</v>
      </c>
      <c r="U90" s="56">
        <f t="shared" si="96"/>
        <v>7.2</v>
      </c>
      <c r="V90" s="56">
        <f t="shared" si="97"/>
        <v>595.74823557551008</v>
      </c>
      <c r="W90" s="57">
        <f t="shared" si="81"/>
        <v>594.88179723865096</v>
      </c>
      <c r="X90" s="57">
        <f t="shared" si="82"/>
        <v>596.6146739123692</v>
      </c>
      <c r="Y90" s="57">
        <f t="shared" si="83"/>
        <v>599.22142659985275</v>
      </c>
      <c r="Z90" s="57">
        <f t="shared" si="84"/>
        <v>598.06563483913783</v>
      </c>
      <c r="AA90" s="57">
        <f t="shared" si="85"/>
        <v>602.58659738253141</v>
      </c>
      <c r="AB90" s="320" t="str">
        <f t="shared" si="86"/>
        <v/>
      </c>
      <c r="AC90" s="321"/>
      <c r="AD90" s="57">
        <f t="shared" si="87"/>
        <v>3.4731910243426682</v>
      </c>
      <c r="AE90" s="57">
        <f t="shared" si="98"/>
        <v>3.4731910243426682</v>
      </c>
      <c r="AF90" s="57">
        <f t="shared" si="88"/>
        <v>2.505784987060157</v>
      </c>
      <c r="AG90" s="57">
        <f t="shared" si="89"/>
        <v>2.3919139157402118</v>
      </c>
      <c r="AH90" s="315" t="str">
        <f t="shared" si="90"/>
        <v/>
      </c>
      <c r="AI90" s="313">
        <f t="shared" si="99"/>
        <v>1.0353421069767539</v>
      </c>
      <c r="AJ90" s="313">
        <f t="shared" si="91"/>
        <v>1.0353421069767539</v>
      </c>
      <c r="AK90" s="313">
        <f t="shared" si="92"/>
        <v>1.0253744365871738</v>
      </c>
      <c r="AL90" s="313">
        <f t="shared" si="93"/>
        <v>1.0242074962610106</v>
      </c>
    </row>
    <row r="91" spans="1:38" x14ac:dyDescent="0.2">
      <c r="A91" s="396"/>
      <c r="B91" s="102" t="str">
        <f t="shared" si="100"/>
        <v>Exptal</v>
      </c>
      <c r="C91" s="103" t="s">
        <v>52</v>
      </c>
      <c r="D91" s="10">
        <v>9.5</v>
      </c>
      <c r="E91" s="56">
        <f t="shared" si="94"/>
        <v>398.4</v>
      </c>
      <c r="F91" s="10">
        <v>404</v>
      </c>
      <c r="G91" s="10">
        <v>392.8</v>
      </c>
      <c r="H91" s="10">
        <v>404.4</v>
      </c>
      <c r="I91" s="10">
        <v>399.3</v>
      </c>
      <c r="J91" s="10">
        <v>400.6</v>
      </c>
      <c r="K91" s="315" t="str">
        <f t="shared" si="74"/>
        <v/>
      </c>
      <c r="L91" s="316"/>
      <c r="M91" s="57">
        <f t="shared" si="75"/>
        <v>6</v>
      </c>
      <c r="N91" s="57">
        <f t="shared" si="95"/>
        <v>6</v>
      </c>
      <c r="O91" s="57">
        <f t="shared" si="76"/>
        <v>5.4789030910666447</v>
      </c>
      <c r="P91" s="57">
        <f t="shared" si="77"/>
        <v>5.9105275191061848</v>
      </c>
      <c r="Q91" s="315" t="str">
        <f t="shared" si="78"/>
        <v/>
      </c>
      <c r="R91" s="106"/>
      <c r="S91" s="30" t="str">
        <f t="shared" si="79"/>
        <v>Exptal</v>
      </c>
      <c r="T91" s="30" t="str">
        <f t="shared" si="80"/>
        <v>Lindsay</v>
      </c>
      <c r="U91" s="56">
        <f t="shared" si="96"/>
        <v>9.5</v>
      </c>
      <c r="V91" s="56">
        <f t="shared" si="97"/>
        <v>598.73577272207308</v>
      </c>
      <c r="W91" s="57">
        <f t="shared" si="81"/>
        <v>600.14148779611503</v>
      </c>
      <c r="X91" s="57">
        <f t="shared" si="82"/>
        <v>597.33005764803102</v>
      </c>
      <c r="Y91" s="57">
        <f t="shared" si="83"/>
        <v>600.24044871463161</v>
      </c>
      <c r="Z91" s="57">
        <f t="shared" si="84"/>
        <v>598.97130140691763</v>
      </c>
      <c r="AA91" s="57">
        <f t="shared" si="85"/>
        <v>599.29634232317176</v>
      </c>
      <c r="AB91" s="320" t="str">
        <f t="shared" si="86"/>
        <v/>
      </c>
      <c r="AC91" s="321"/>
      <c r="AD91" s="57">
        <f t="shared" si="87"/>
        <v>1.504675992558532</v>
      </c>
      <c r="AE91" s="57">
        <f t="shared" si="98"/>
        <v>1.504675992558532</v>
      </c>
      <c r="AF91" s="57">
        <f t="shared" si="88"/>
        <v>1.3675021462918333</v>
      </c>
      <c r="AG91" s="57">
        <f t="shared" si="89"/>
        <v>1.4827971160266402</v>
      </c>
      <c r="AH91" s="315" t="str">
        <f t="shared" si="90"/>
        <v/>
      </c>
      <c r="AI91" s="313">
        <f t="shared" si="99"/>
        <v>1.015160532336866</v>
      </c>
      <c r="AJ91" s="313">
        <f t="shared" si="91"/>
        <v>1.015160532336866</v>
      </c>
      <c r="AK91" s="313">
        <f t="shared" si="92"/>
        <v>1.0137689522490507</v>
      </c>
      <c r="AL91" s="313">
        <f t="shared" si="93"/>
        <v>1.0149384509127417</v>
      </c>
    </row>
    <row r="92" spans="1:38" x14ac:dyDescent="0.2">
      <c r="A92" s="396"/>
      <c r="B92" s="102" t="str">
        <f t="shared" si="100"/>
        <v>Exptal</v>
      </c>
      <c r="C92" s="103" t="s">
        <v>31</v>
      </c>
      <c r="D92" s="10">
        <v>14.7</v>
      </c>
      <c r="E92" s="56">
        <f t="shared" si="94"/>
        <v>409.95</v>
      </c>
      <c r="F92" s="10">
        <v>416.5</v>
      </c>
      <c r="G92" s="10">
        <v>403.4</v>
      </c>
      <c r="H92" s="10">
        <v>405.1</v>
      </c>
      <c r="I92" s="10">
        <v>393.1</v>
      </c>
      <c r="J92" s="10">
        <v>396.6</v>
      </c>
      <c r="K92" s="315" t="str">
        <f t="shared" si="74"/>
        <v/>
      </c>
      <c r="L92" s="316"/>
      <c r="M92" s="57">
        <f t="shared" si="75"/>
        <v>-4.8499999999999659</v>
      </c>
      <c r="N92" s="57">
        <f t="shared" si="95"/>
        <v>-4.8499999999999659</v>
      </c>
      <c r="O92" s="57">
        <f t="shared" si="76"/>
        <v>-2.4494127836031816</v>
      </c>
      <c r="P92" s="57">
        <f t="shared" si="77"/>
        <v>4.8554096380082115</v>
      </c>
      <c r="Q92" s="315" t="str">
        <f t="shared" si="78"/>
        <v/>
      </c>
      <c r="R92" s="106"/>
      <c r="S92" s="30" t="str">
        <f t="shared" si="79"/>
        <v>Exptal</v>
      </c>
      <c r="T92" s="30" t="str">
        <f t="shared" si="80"/>
        <v>Morgan</v>
      </c>
      <c r="U92" s="56">
        <f t="shared" si="96"/>
        <v>14.7</v>
      </c>
      <c r="V92" s="56">
        <f t="shared" si="97"/>
        <v>601.59075435635043</v>
      </c>
      <c r="W92" s="57">
        <f t="shared" si="81"/>
        <v>603.18864616068981</v>
      </c>
      <c r="X92" s="57">
        <f t="shared" si="82"/>
        <v>599.99286255201105</v>
      </c>
      <c r="Y92" s="57">
        <f t="shared" si="83"/>
        <v>600.41339502086441</v>
      </c>
      <c r="Z92" s="57">
        <f t="shared" si="84"/>
        <v>597.40640324278149</v>
      </c>
      <c r="AA92" s="57">
        <f t="shared" si="85"/>
        <v>598.29282160856951</v>
      </c>
      <c r="AB92" s="320" t="str">
        <f t="shared" si="86"/>
        <v/>
      </c>
      <c r="AC92" s="321"/>
      <c r="AD92" s="57">
        <f t="shared" si="87"/>
        <v>-1.1773593354860168</v>
      </c>
      <c r="AE92" s="57">
        <f t="shared" si="98"/>
        <v>-1.1773593354860168</v>
      </c>
      <c r="AF92" s="57">
        <f t="shared" si="88"/>
        <v>-0.52113797317333765</v>
      </c>
      <c r="AG92" s="57">
        <f t="shared" si="89"/>
        <v>1.1959230083155417</v>
      </c>
      <c r="AH92" s="315" t="str">
        <f t="shared" si="90"/>
        <v/>
      </c>
      <c r="AI92" s="313">
        <f t="shared" si="99"/>
        <v>0.98829544418977111</v>
      </c>
      <c r="AJ92" s="313">
        <f t="shared" si="91"/>
        <v>0.98829544418977111</v>
      </c>
      <c r="AK92" s="313">
        <f t="shared" si="92"/>
        <v>0.99480217594946385</v>
      </c>
      <c r="AL92" s="313">
        <f t="shared" si="93"/>
        <v>1.0120310276041349</v>
      </c>
    </row>
    <row r="93" spans="1:38" x14ac:dyDescent="0.2">
      <c r="A93" s="396"/>
      <c r="B93" s="102" t="str">
        <f t="shared" si="100"/>
        <v>Exptal</v>
      </c>
      <c r="C93" s="103" t="s">
        <v>35</v>
      </c>
      <c r="D93" s="10">
        <v>11</v>
      </c>
      <c r="E93" s="56">
        <f t="shared" si="94"/>
        <v>398.70000000000005</v>
      </c>
      <c r="F93" s="10">
        <v>394.1</v>
      </c>
      <c r="G93" s="10">
        <v>403.3</v>
      </c>
      <c r="H93" s="10">
        <v>406.9</v>
      </c>
      <c r="I93" s="10">
        <v>392.3</v>
      </c>
      <c r="J93" s="10">
        <v>414.2</v>
      </c>
      <c r="K93" s="315" t="str">
        <f t="shared" si="74"/>
        <v/>
      </c>
      <c r="L93" s="316"/>
      <c r="M93" s="57">
        <f t="shared" si="75"/>
        <v>8.1999999999999318</v>
      </c>
      <c r="N93" s="57">
        <f t="shared" si="95"/>
        <v>8.1999999999999318</v>
      </c>
      <c r="O93" s="57">
        <f t="shared" si="76"/>
        <v>7.7547909904258177</v>
      </c>
      <c r="P93" s="57">
        <f t="shared" si="77"/>
        <v>10.935974284174</v>
      </c>
      <c r="Q93" s="315" t="str">
        <f t="shared" si="78"/>
        <v/>
      </c>
      <c r="R93" s="106"/>
      <c r="S93" s="30" t="str">
        <f t="shared" si="79"/>
        <v>Exptal</v>
      </c>
      <c r="T93" s="30" t="str">
        <f t="shared" si="80"/>
        <v>Pat</v>
      </c>
      <c r="U93" s="56">
        <f t="shared" si="96"/>
        <v>11</v>
      </c>
      <c r="V93" s="56">
        <f t="shared" si="97"/>
        <v>598.81426930401403</v>
      </c>
      <c r="W93" s="57">
        <f t="shared" si="81"/>
        <v>597.66046842009587</v>
      </c>
      <c r="X93" s="57">
        <f t="shared" si="82"/>
        <v>599.9680701879322</v>
      </c>
      <c r="Y93" s="57">
        <f t="shared" si="83"/>
        <v>600.85674550076442</v>
      </c>
      <c r="Z93" s="57">
        <f t="shared" si="84"/>
        <v>597.20268532155069</v>
      </c>
      <c r="AA93" s="57">
        <f t="shared" si="85"/>
        <v>602.63489489614835</v>
      </c>
      <c r="AB93" s="320" t="str">
        <f t="shared" si="86"/>
        <v/>
      </c>
      <c r="AC93" s="321"/>
      <c r="AD93" s="57">
        <f t="shared" si="87"/>
        <v>2.0424761967503855</v>
      </c>
      <c r="AE93" s="57">
        <f t="shared" si="98"/>
        <v>2.0424761967503855</v>
      </c>
      <c r="AF93" s="57">
        <f t="shared" si="88"/>
        <v>1.9271164354690618</v>
      </c>
      <c r="AG93" s="57">
        <f t="shared" si="89"/>
        <v>2.7115092106992966</v>
      </c>
      <c r="AH93" s="315" t="str">
        <f t="shared" si="90"/>
        <v/>
      </c>
      <c r="AI93" s="313">
        <f t="shared" si="99"/>
        <v>1.0206347748019828</v>
      </c>
      <c r="AJ93" s="313">
        <f t="shared" si="91"/>
        <v>1.0206347748019828</v>
      </c>
      <c r="AK93" s="313">
        <f t="shared" si="92"/>
        <v>1.0194580518251228</v>
      </c>
      <c r="AL93" s="313">
        <f t="shared" si="93"/>
        <v>1.0274860514931834</v>
      </c>
    </row>
    <row r="94" spans="1:38" x14ac:dyDescent="0.2">
      <c r="A94" s="396"/>
      <c r="B94" s="102" t="str">
        <f t="shared" si="100"/>
        <v>Exptal</v>
      </c>
      <c r="C94" s="103" t="s">
        <v>53</v>
      </c>
      <c r="D94" s="10">
        <v>17.7</v>
      </c>
      <c r="E94" s="56">
        <f t="shared" si="94"/>
        <v>388.79999999999995</v>
      </c>
      <c r="F94" s="10">
        <v>388.4</v>
      </c>
      <c r="G94" s="10">
        <v>389.2</v>
      </c>
      <c r="H94" s="10">
        <v>394.7</v>
      </c>
      <c r="I94" s="10">
        <v>397.2</v>
      </c>
      <c r="J94" s="10">
        <v>395.5</v>
      </c>
      <c r="K94" s="315" t="str">
        <f t="shared" si="74"/>
        <v/>
      </c>
      <c r="L94" s="316"/>
      <c r="M94" s="57">
        <f t="shared" si="75"/>
        <v>5.9000000000000341</v>
      </c>
      <c r="N94" s="57">
        <f t="shared" si="95"/>
        <v>5.9000000000000341</v>
      </c>
      <c r="O94" s="57">
        <f t="shared" si="76"/>
        <v>2.9504903115714947</v>
      </c>
      <c r="P94" s="57">
        <f t="shared" si="77"/>
        <v>21.256303168143976</v>
      </c>
      <c r="Q94" s="315" t="str">
        <f t="shared" si="78"/>
        <v/>
      </c>
      <c r="R94" s="106"/>
      <c r="S94" s="30" t="str">
        <f t="shared" si="79"/>
        <v>Exptal</v>
      </c>
      <c r="T94" s="30" t="str">
        <f t="shared" si="80"/>
        <v>Reilly</v>
      </c>
      <c r="U94" s="56">
        <f t="shared" si="96"/>
        <v>17.7</v>
      </c>
      <c r="V94" s="56">
        <f t="shared" si="97"/>
        <v>596.306454336451</v>
      </c>
      <c r="W94" s="57">
        <f t="shared" si="81"/>
        <v>596.20357364171696</v>
      </c>
      <c r="X94" s="57">
        <f t="shared" si="82"/>
        <v>596.40933503118504</v>
      </c>
      <c r="Y94" s="57">
        <f t="shared" si="83"/>
        <v>597.81259826688017</v>
      </c>
      <c r="Z94" s="57">
        <f t="shared" si="84"/>
        <v>598.44399321710182</v>
      </c>
      <c r="AA94" s="57">
        <f t="shared" si="85"/>
        <v>598.01507872077093</v>
      </c>
      <c r="AB94" s="320" t="str">
        <f t="shared" si="86"/>
        <v/>
      </c>
      <c r="AC94" s="321"/>
      <c r="AD94" s="57">
        <f t="shared" si="87"/>
        <v>1.5061439304291753</v>
      </c>
      <c r="AE94" s="57">
        <f t="shared" si="98"/>
        <v>1.5061439304291753</v>
      </c>
      <c r="AF94" s="57">
        <f t="shared" si="88"/>
        <v>0.69386606803656814</v>
      </c>
      <c r="AG94" s="57">
        <f t="shared" si="89"/>
        <v>5.26125005519234</v>
      </c>
      <c r="AH94" s="315" t="str">
        <f t="shared" si="90"/>
        <v/>
      </c>
      <c r="AI94" s="313">
        <f t="shared" si="99"/>
        <v>1.015175434372144</v>
      </c>
      <c r="AJ94" s="313">
        <f t="shared" si="91"/>
        <v>1.015175434372144</v>
      </c>
      <c r="AK94" s="313">
        <f t="shared" si="92"/>
        <v>1.0069627889600832</v>
      </c>
      <c r="AL94" s="313">
        <f t="shared" si="93"/>
        <v>1.0540211333679874</v>
      </c>
    </row>
    <row r="95" spans="1:38" x14ac:dyDescent="0.2">
      <c r="A95" s="396"/>
      <c r="B95" s="102" t="str">
        <f t="shared" si="100"/>
        <v>Exptal</v>
      </c>
      <c r="C95" s="103" t="s">
        <v>32</v>
      </c>
      <c r="D95" s="10">
        <v>4.2</v>
      </c>
      <c r="E95" s="56">
        <f t="shared" si="94"/>
        <v>388.75</v>
      </c>
      <c r="F95" s="10">
        <v>388.9</v>
      </c>
      <c r="G95" s="10">
        <v>388.6</v>
      </c>
      <c r="H95" s="10">
        <v>401.8</v>
      </c>
      <c r="I95" s="10">
        <v>393.9</v>
      </c>
      <c r="J95" s="10">
        <v>414</v>
      </c>
      <c r="K95" s="315" t="str">
        <f t="shared" si="74"/>
        <v/>
      </c>
      <c r="L95" s="316"/>
      <c r="M95" s="57">
        <f t="shared" si="75"/>
        <v>13.050000000000011</v>
      </c>
      <c r="N95" s="57">
        <f t="shared" si="95"/>
        <v>13.050000000000011</v>
      </c>
      <c r="O95" s="57">
        <f t="shared" si="76"/>
        <v>10.087842328344946</v>
      </c>
      <c r="P95" s="57">
        <f t="shared" si="77"/>
        <v>2.977282282533011</v>
      </c>
      <c r="Q95" s="315" t="str">
        <f t="shared" si="78"/>
        <v/>
      </c>
      <c r="R95" s="106"/>
      <c r="S95" s="30" t="str">
        <f t="shared" si="79"/>
        <v>Exptal</v>
      </c>
      <c r="T95" s="30" t="str">
        <f t="shared" si="80"/>
        <v>Robin</v>
      </c>
      <c r="U95" s="56">
        <f t="shared" si="96"/>
        <v>4.2</v>
      </c>
      <c r="V95" s="56">
        <f t="shared" si="97"/>
        <v>596.29363890525212</v>
      </c>
      <c r="W95" s="57">
        <f t="shared" si="81"/>
        <v>596.33222411617021</v>
      </c>
      <c r="X95" s="57">
        <f t="shared" si="82"/>
        <v>596.25505369433404</v>
      </c>
      <c r="Y95" s="57">
        <f t="shared" si="83"/>
        <v>599.59544523808347</v>
      </c>
      <c r="Z95" s="57">
        <f t="shared" si="84"/>
        <v>597.60970699768598</v>
      </c>
      <c r="AA95" s="57">
        <f t="shared" si="85"/>
        <v>602.58659738253141</v>
      </c>
      <c r="AB95" s="320" t="str">
        <f t="shared" si="86"/>
        <v/>
      </c>
      <c r="AC95" s="321"/>
      <c r="AD95" s="57">
        <f t="shared" si="87"/>
        <v>3.3018063328313474</v>
      </c>
      <c r="AE95" s="57">
        <f t="shared" si="98"/>
        <v>3.3018063328313474</v>
      </c>
      <c r="AF95" s="57">
        <f t="shared" si="88"/>
        <v>2.4859670809057954</v>
      </c>
      <c r="AG95" s="57">
        <f t="shared" si="89"/>
        <v>0.83870544326728469</v>
      </c>
      <c r="AH95" s="315" t="str">
        <f t="shared" si="90"/>
        <v/>
      </c>
      <c r="AI95" s="313">
        <f t="shared" si="99"/>
        <v>1.0335692087726407</v>
      </c>
      <c r="AJ95" s="313">
        <f t="shared" si="91"/>
        <v>1.0335692087726407</v>
      </c>
      <c r="AK95" s="313">
        <f t="shared" si="92"/>
        <v>1.02517124897803</v>
      </c>
      <c r="AL95" s="313">
        <f t="shared" si="93"/>
        <v>1.008422324308202</v>
      </c>
    </row>
    <row r="96" spans="1:38" x14ac:dyDescent="0.2">
      <c r="A96" s="396"/>
      <c r="B96" s="102" t="str">
        <f t="shared" si="100"/>
        <v>Exptal</v>
      </c>
      <c r="C96" s="103" t="s">
        <v>54</v>
      </c>
      <c r="D96" s="10">
        <v>11.7</v>
      </c>
      <c r="E96" s="56">
        <f t="shared" si="94"/>
        <v>395.8</v>
      </c>
      <c r="F96" s="10">
        <v>392.6</v>
      </c>
      <c r="G96" s="10">
        <v>399</v>
      </c>
      <c r="H96" s="10">
        <v>394.7</v>
      </c>
      <c r="I96" s="10">
        <v>421.4</v>
      </c>
      <c r="J96" s="10">
        <v>397.7</v>
      </c>
      <c r="K96" s="315" t="str">
        <f t="shared" si="74"/>
        <v/>
      </c>
      <c r="L96" s="316"/>
      <c r="M96" s="57">
        <f t="shared" si="75"/>
        <v>-1.1000000000000227</v>
      </c>
      <c r="N96" s="57">
        <f t="shared" si="95"/>
        <v>-1.1000000000000227</v>
      </c>
      <c r="O96" s="57">
        <f t="shared" si="76"/>
        <v>-2.2787920367133134</v>
      </c>
      <c r="P96" s="57">
        <f t="shared" si="77"/>
        <v>2.9545161078723883</v>
      </c>
      <c r="Q96" s="315" t="str">
        <f t="shared" si="78"/>
        <v/>
      </c>
      <c r="R96" s="106"/>
      <c r="S96" s="30" t="str">
        <f t="shared" si="79"/>
        <v>Exptal</v>
      </c>
      <c r="T96" s="30" t="str">
        <f t="shared" si="80"/>
        <v>Sage</v>
      </c>
      <c r="U96" s="56">
        <f t="shared" si="96"/>
        <v>11.7</v>
      </c>
      <c r="V96" s="56">
        <f t="shared" si="97"/>
        <v>598.08763493661127</v>
      </c>
      <c r="W96" s="57">
        <f t="shared" si="81"/>
        <v>597.27912818423613</v>
      </c>
      <c r="X96" s="57">
        <f t="shared" si="82"/>
        <v>598.8961416889864</v>
      </c>
      <c r="Y96" s="57">
        <f t="shared" si="83"/>
        <v>597.81259826688017</v>
      </c>
      <c r="Z96" s="57">
        <f t="shared" si="84"/>
        <v>604.35825013700878</v>
      </c>
      <c r="AA96" s="57">
        <f t="shared" si="85"/>
        <v>598.56979522136453</v>
      </c>
      <c r="AB96" s="320" t="str">
        <f t="shared" si="86"/>
        <v/>
      </c>
      <c r="AC96" s="321"/>
      <c r="AD96" s="57">
        <f t="shared" si="87"/>
        <v>-0.27503666973109375</v>
      </c>
      <c r="AE96" s="57">
        <f t="shared" si="98"/>
        <v>-0.27503666973109375</v>
      </c>
      <c r="AF96" s="57">
        <f t="shared" si="88"/>
        <v>-0.59232705591200185</v>
      </c>
      <c r="AG96" s="57">
        <f t="shared" si="89"/>
        <v>0.71642189310885862</v>
      </c>
      <c r="AH96" s="315" t="str">
        <f t="shared" si="90"/>
        <v/>
      </c>
      <c r="AI96" s="313">
        <f t="shared" si="99"/>
        <v>0.99725341209602425</v>
      </c>
      <c r="AJ96" s="313">
        <f t="shared" si="91"/>
        <v>0.99725341209602425</v>
      </c>
      <c r="AK96" s="313">
        <f t="shared" si="92"/>
        <v>0.99409423742271086</v>
      </c>
      <c r="AL96" s="313">
        <f t="shared" si="93"/>
        <v>1.0071899433426135</v>
      </c>
    </row>
    <row r="97" spans="1:38" x14ac:dyDescent="0.2">
      <c r="A97" s="396"/>
      <c r="B97" s="102" t="str">
        <f t="shared" si="100"/>
        <v>Exptal</v>
      </c>
      <c r="C97" s="103" t="s">
        <v>1</v>
      </c>
      <c r="D97" s="10">
        <v>7.7</v>
      </c>
      <c r="E97" s="56">
        <f t="shared" si="94"/>
        <v>393.75</v>
      </c>
      <c r="F97" s="10">
        <v>396.4</v>
      </c>
      <c r="G97" s="10">
        <v>391.1</v>
      </c>
      <c r="H97" s="10">
        <v>418.6</v>
      </c>
      <c r="I97" s="10">
        <v>407.7</v>
      </c>
      <c r="J97" s="10">
        <v>409.1</v>
      </c>
      <c r="K97" s="315" t="str">
        <f t="shared" si="74"/>
        <v/>
      </c>
      <c r="L97" s="316"/>
      <c r="M97" s="57">
        <f t="shared" si="75"/>
        <v>24.850000000000023</v>
      </c>
      <c r="N97" s="57">
        <f t="shared" si="95"/>
        <v>24.850000000000023</v>
      </c>
      <c r="O97" s="57">
        <f t="shared" si="76"/>
        <v>23.152640650998695</v>
      </c>
      <c r="P97" s="57">
        <f t="shared" si="77"/>
        <v>21.369991401024748</v>
      </c>
      <c r="Q97" s="315" t="str">
        <f t="shared" si="78"/>
        <v/>
      </c>
      <c r="R97" s="106"/>
      <c r="S97" s="30" t="str">
        <f t="shared" si="79"/>
        <v>Exptal</v>
      </c>
      <c r="T97" s="30" t="str">
        <f t="shared" si="80"/>
        <v>Sam</v>
      </c>
      <c r="U97" s="56">
        <f t="shared" si="96"/>
        <v>7.7</v>
      </c>
      <c r="V97" s="56">
        <f t="shared" si="97"/>
        <v>597.56935421086507</v>
      </c>
      <c r="W97" s="57">
        <f t="shared" si="81"/>
        <v>598.24238024558326</v>
      </c>
      <c r="X97" s="57">
        <f t="shared" si="82"/>
        <v>596.89632817614688</v>
      </c>
      <c r="Y97" s="57">
        <f t="shared" si="83"/>
        <v>603.69158100119</v>
      </c>
      <c r="Z97" s="57">
        <f t="shared" si="84"/>
        <v>601.05316098252069</v>
      </c>
      <c r="AA97" s="57">
        <f t="shared" si="85"/>
        <v>601.39596249353531</v>
      </c>
      <c r="AB97" s="320" t="str">
        <f t="shared" si="86"/>
        <v/>
      </c>
      <c r="AC97" s="321"/>
      <c r="AD97" s="57">
        <f t="shared" si="87"/>
        <v>6.1222267903249303</v>
      </c>
      <c r="AE97" s="57">
        <f t="shared" si="98"/>
        <v>6.1222267903249303</v>
      </c>
      <c r="AF97" s="57">
        <f t="shared" si="88"/>
        <v>5.6609069506550309</v>
      </c>
      <c r="AG97" s="57">
        <f t="shared" si="89"/>
        <v>5.271253645216075</v>
      </c>
      <c r="AH97" s="315" t="str">
        <f t="shared" si="90"/>
        <v/>
      </c>
      <c r="AI97" s="313">
        <f t="shared" si="99"/>
        <v>1.0631351887573715</v>
      </c>
      <c r="AJ97" s="313">
        <f t="shared" si="91"/>
        <v>1.0631351887573715</v>
      </c>
      <c r="AK97" s="313">
        <f t="shared" si="92"/>
        <v>1.0582420304420193</v>
      </c>
      <c r="AL97" s="313">
        <f t="shared" si="93"/>
        <v>1.0541265785949991</v>
      </c>
    </row>
    <row r="98" spans="1:38" x14ac:dyDescent="0.2">
      <c r="A98" s="396"/>
      <c r="B98" s="102" t="str">
        <f t="shared" si="100"/>
        <v>Exptal</v>
      </c>
      <c r="C98" s="103" t="s">
        <v>55</v>
      </c>
      <c r="D98" s="10">
        <v>11.6</v>
      </c>
      <c r="E98" s="56">
        <f t="shared" si="94"/>
        <v>409.25</v>
      </c>
      <c r="F98" s="10">
        <v>405.4</v>
      </c>
      <c r="G98" s="10">
        <v>413.1</v>
      </c>
      <c r="H98" s="10">
        <v>417.4</v>
      </c>
      <c r="I98" s="10">
        <v>422.1</v>
      </c>
      <c r="J98" s="10">
        <v>404.4</v>
      </c>
      <c r="K98" s="315" t="str">
        <f t="shared" si="74"/>
        <v/>
      </c>
      <c r="L98" s="316"/>
      <c r="M98" s="57">
        <f t="shared" si="75"/>
        <v>8.1499999999999773</v>
      </c>
      <c r="N98" s="57">
        <f t="shared" si="95"/>
        <v>8.1499999999999773</v>
      </c>
      <c r="O98" s="57">
        <f t="shared" si="76"/>
        <v>10.373515451225241</v>
      </c>
      <c r="P98" s="57">
        <f t="shared" si="77"/>
        <v>12.016152990201197</v>
      </c>
      <c r="Q98" s="315" t="str">
        <f t="shared" si="78"/>
        <v/>
      </c>
      <c r="R98" s="106"/>
      <c r="S98" s="30" t="str">
        <f t="shared" si="79"/>
        <v>Exptal</v>
      </c>
      <c r="T98" s="30" t="str">
        <f t="shared" si="80"/>
        <v>Sidney</v>
      </c>
      <c r="U98" s="56">
        <f t="shared" si="96"/>
        <v>11.6</v>
      </c>
      <c r="V98" s="56">
        <f t="shared" si="97"/>
        <v>601.42819642103086</v>
      </c>
      <c r="W98" s="57">
        <f t="shared" si="81"/>
        <v>600.4874234017899</v>
      </c>
      <c r="X98" s="57">
        <f t="shared" si="82"/>
        <v>602.36896944027183</v>
      </c>
      <c r="Y98" s="57">
        <f t="shared" si="83"/>
        <v>603.40449946430999</v>
      </c>
      <c r="Z98" s="57">
        <f t="shared" si="84"/>
        <v>604.52422527884528</v>
      </c>
      <c r="AA98" s="57">
        <f t="shared" si="85"/>
        <v>600.24044871463161</v>
      </c>
      <c r="AB98" s="320" t="str">
        <f t="shared" si="86"/>
        <v/>
      </c>
      <c r="AC98" s="321"/>
      <c r="AD98" s="57">
        <f t="shared" si="87"/>
        <v>1.9763030432791311</v>
      </c>
      <c r="AE98" s="57">
        <f t="shared" si="98"/>
        <v>1.9763030432791311</v>
      </c>
      <c r="AF98" s="57">
        <f t="shared" si="88"/>
        <v>2.5873497938007444</v>
      </c>
      <c r="AG98" s="57">
        <f t="shared" si="89"/>
        <v>2.9217008134203635</v>
      </c>
      <c r="AH98" s="315" t="str">
        <f t="shared" si="90"/>
        <v/>
      </c>
      <c r="AI98" s="313">
        <f t="shared" si="99"/>
        <v>1.0199596119989682</v>
      </c>
      <c r="AJ98" s="313">
        <f t="shared" si="91"/>
        <v>1.0199596119989682</v>
      </c>
      <c r="AK98" s="313">
        <f t="shared" si="92"/>
        <v>1.0262111224389565</v>
      </c>
      <c r="AL98" s="313">
        <f t="shared" si="93"/>
        <v>1.029648012226539</v>
      </c>
    </row>
    <row r="99" spans="1:38" x14ac:dyDescent="0.2">
      <c r="A99" s="396"/>
      <c r="B99" s="102" t="str">
        <f t="shared" si="100"/>
        <v>Exptal</v>
      </c>
      <c r="C99" s="103" t="s">
        <v>56</v>
      </c>
      <c r="D99" s="10">
        <v>4.9000000000000004</v>
      </c>
      <c r="E99" s="56">
        <f t="shared" si="94"/>
        <v>394.5</v>
      </c>
      <c r="F99" s="10">
        <v>399.9</v>
      </c>
      <c r="G99" s="10">
        <v>389.1</v>
      </c>
      <c r="H99" s="10">
        <v>423.2</v>
      </c>
      <c r="I99" s="10">
        <v>409.5</v>
      </c>
      <c r="J99" s="10">
        <v>399.1</v>
      </c>
      <c r="K99" s="315" t="str">
        <f t="shared" si="74"/>
        <v/>
      </c>
      <c r="L99" s="316"/>
      <c r="M99" s="57">
        <f t="shared" si="75"/>
        <v>28.699999999999989</v>
      </c>
      <c r="N99" s="57">
        <f t="shared" si="95"/>
        <v>28.699999999999989</v>
      </c>
      <c r="O99" s="57">
        <f t="shared" si="76"/>
        <v>27.192360399396723</v>
      </c>
      <c r="P99" s="57">
        <f t="shared" si="77"/>
        <v>19.945824106231335</v>
      </c>
      <c r="Q99" s="315" t="str">
        <f t="shared" si="78"/>
        <v/>
      </c>
      <c r="R99" s="106"/>
      <c r="S99" s="30" t="str">
        <f t="shared" si="79"/>
        <v>Exptal</v>
      </c>
      <c r="T99" s="30" t="str">
        <f t="shared" si="80"/>
        <v>Terry</v>
      </c>
      <c r="U99" s="56">
        <f t="shared" si="96"/>
        <v>4.9000000000000004</v>
      </c>
      <c r="V99" s="56">
        <f t="shared" si="97"/>
        <v>597.75254479216403</v>
      </c>
      <c r="W99" s="57">
        <f t="shared" si="81"/>
        <v>599.12145158527721</v>
      </c>
      <c r="X99" s="57">
        <f t="shared" si="82"/>
        <v>596.38363799905085</v>
      </c>
      <c r="Y99" s="57">
        <f t="shared" si="83"/>
        <v>604.78448805440894</v>
      </c>
      <c r="Z99" s="57">
        <f t="shared" si="84"/>
        <v>601.49369032931247</v>
      </c>
      <c r="AA99" s="57">
        <f t="shared" si="85"/>
        <v>598.92120120546883</v>
      </c>
      <c r="AB99" s="320" t="str">
        <f t="shared" si="86"/>
        <v/>
      </c>
      <c r="AC99" s="321"/>
      <c r="AD99" s="57">
        <f t="shared" si="87"/>
        <v>7.0319432622449085</v>
      </c>
      <c r="AE99" s="57">
        <f t="shared" si="98"/>
        <v>7.0319432622449085</v>
      </c>
      <c r="AF99" s="57">
        <f t="shared" si="88"/>
        <v>6.6215318164205108</v>
      </c>
      <c r="AG99" s="57">
        <f t="shared" si="89"/>
        <v>4.8912679215718873</v>
      </c>
      <c r="AH99" s="315" t="str">
        <f t="shared" si="90"/>
        <v/>
      </c>
      <c r="AI99" s="313">
        <f t="shared" si="99"/>
        <v>1.0728508300788453</v>
      </c>
      <c r="AJ99" s="313">
        <f t="shared" si="91"/>
        <v>1.0728508300788453</v>
      </c>
      <c r="AK99" s="313">
        <f t="shared" si="92"/>
        <v>1.0684567505459821</v>
      </c>
      <c r="AL99" s="313">
        <f t="shared" si="93"/>
        <v>1.0501286486791397</v>
      </c>
    </row>
    <row r="100" spans="1:38" x14ac:dyDescent="0.2">
      <c r="A100" s="396"/>
      <c r="B100" s="102" t="str">
        <f t="shared" si="100"/>
        <v>Exptal</v>
      </c>
      <c r="C100" s="103" t="s">
        <v>57</v>
      </c>
      <c r="D100" s="10">
        <v>6.3</v>
      </c>
      <c r="E100" s="56">
        <f t="shared" si="94"/>
        <v>399.2</v>
      </c>
      <c r="F100" s="10">
        <v>403.9</v>
      </c>
      <c r="G100" s="10">
        <v>394.5</v>
      </c>
      <c r="H100" s="10">
        <v>414.1</v>
      </c>
      <c r="I100" s="10">
        <v>424.3</v>
      </c>
      <c r="J100" s="10">
        <v>413</v>
      </c>
      <c r="K100" s="315" t="str">
        <f t="shared" si="74"/>
        <v/>
      </c>
      <c r="L100" s="316"/>
      <c r="M100" s="57">
        <f t="shared" si="75"/>
        <v>14.900000000000034</v>
      </c>
      <c r="N100" s="57">
        <f t="shared" si="95"/>
        <v>14.900000000000034</v>
      </c>
      <c r="O100" s="57">
        <f t="shared" si="76"/>
        <v>14.58127082269128</v>
      </c>
      <c r="P100" s="57">
        <f t="shared" si="77"/>
        <v>8.78290775362807</v>
      </c>
      <c r="Q100" s="315" t="str">
        <f t="shared" si="78"/>
        <v/>
      </c>
      <c r="R100" s="106"/>
      <c r="S100" s="30" t="str">
        <f t="shared" si="79"/>
        <v>Exptal</v>
      </c>
      <c r="T100" s="30" t="str">
        <f t="shared" si="80"/>
        <v>Tristan</v>
      </c>
      <c r="U100" s="56">
        <f t="shared" si="96"/>
        <v>6.3</v>
      </c>
      <c r="V100" s="56">
        <f t="shared" si="97"/>
        <v>598.93932314276481</v>
      </c>
      <c r="W100" s="57">
        <f t="shared" si="81"/>
        <v>600.11673225693676</v>
      </c>
      <c r="X100" s="57">
        <f t="shared" si="82"/>
        <v>597.76191402859297</v>
      </c>
      <c r="Y100" s="57">
        <f t="shared" si="83"/>
        <v>602.61074905515216</v>
      </c>
      <c r="Z100" s="57">
        <f t="shared" si="84"/>
        <v>605.04407522082784</v>
      </c>
      <c r="AA100" s="57">
        <f t="shared" si="85"/>
        <v>602.34475929610335</v>
      </c>
      <c r="AB100" s="320" t="str">
        <f t="shared" si="86"/>
        <v/>
      </c>
      <c r="AC100" s="321"/>
      <c r="AD100" s="57">
        <f t="shared" si="87"/>
        <v>3.6714259123873489</v>
      </c>
      <c r="AE100" s="57">
        <f t="shared" si="98"/>
        <v>3.6714259123873489</v>
      </c>
      <c r="AF100" s="57">
        <f t="shared" si="88"/>
        <v>3.5908184294703083</v>
      </c>
      <c r="AG100" s="57">
        <f t="shared" si="89"/>
        <v>2.1756016694964107</v>
      </c>
      <c r="AH100" s="315" t="str">
        <f t="shared" si="90"/>
        <v/>
      </c>
      <c r="AI100" s="313">
        <f t="shared" si="99"/>
        <v>1.037396551883899</v>
      </c>
      <c r="AJ100" s="313">
        <f t="shared" si="91"/>
        <v>1.037396551883899</v>
      </c>
      <c r="AK100" s="313">
        <f t="shared" si="92"/>
        <v>1.0365606695726628</v>
      </c>
      <c r="AL100" s="313">
        <f t="shared" si="93"/>
        <v>1.0219944044768654</v>
      </c>
    </row>
    <row r="101" spans="1:38" x14ac:dyDescent="0.2">
      <c r="A101" s="396"/>
      <c r="B101" s="102" t="str">
        <f t="shared" si="100"/>
        <v>Exptal</v>
      </c>
      <c r="C101" s="103" t="s">
        <v>58</v>
      </c>
      <c r="D101" s="10">
        <v>0.5</v>
      </c>
      <c r="E101" s="56">
        <f t="shared" si="94"/>
        <v>385.35</v>
      </c>
      <c r="F101" s="10">
        <v>382.5</v>
      </c>
      <c r="G101" s="10">
        <v>388.2</v>
      </c>
      <c r="H101" s="10">
        <v>420.7</v>
      </c>
      <c r="I101" s="10">
        <v>393.1</v>
      </c>
      <c r="J101" s="10">
        <v>399.3</v>
      </c>
      <c r="K101" s="315" t="str">
        <f t="shared" si="74"/>
        <v/>
      </c>
      <c r="L101" s="316"/>
      <c r="M101" s="57">
        <f t="shared" si="75"/>
        <v>35.349999999999966</v>
      </c>
      <c r="N101" s="57">
        <f t="shared" si="95"/>
        <v>35.349999999999966</v>
      </c>
      <c r="O101" s="57">
        <f t="shared" si="76"/>
        <v>31.527779468940363</v>
      </c>
      <c r="P101" s="57">
        <f t="shared" si="77"/>
        <v>18.307846928698854</v>
      </c>
      <c r="Q101" s="315" t="str">
        <f t="shared" si="78"/>
        <v/>
      </c>
      <c r="R101" s="106"/>
      <c r="S101" s="30" t="str">
        <f t="shared" si="79"/>
        <v>Exptal</v>
      </c>
      <c r="T101" s="30" t="str">
        <f t="shared" si="80"/>
        <v>Vic</v>
      </c>
      <c r="U101" s="56">
        <f t="shared" si="96"/>
        <v>0.5</v>
      </c>
      <c r="V101" s="56">
        <f t="shared" si="97"/>
        <v>595.41246620007496</v>
      </c>
      <c r="W101" s="57">
        <f t="shared" si="81"/>
        <v>594.67286532665901</v>
      </c>
      <c r="X101" s="57">
        <f t="shared" si="82"/>
        <v>596.15206707349091</v>
      </c>
      <c r="Y101" s="57">
        <f t="shared" si="83"/>
        <v>604.19199905964751</v>
      </c>
      <c r="Z101" s="57">
        <f t="shared" si="84"/>
        <v>597.40640324278149</v>
      </c>
      <c r="AA101" s="57">
        <f t="shared" si="85"/>
        <v>598.97130140691763</v>
      </c>
      <c r="AB101" s="320" t="str">
        <f t="shared" si="86"/>
        <v/>
      </c>
      <c r="AC101" s="321"/>
      <c r="AD101" s="57">
        <f t="shared" si="87"/>
        <v>8.779532859572555</v>
      </c>
      <c r="AE101" s="57">
        <f t="shared" si="98"/>
        <v>8.779532859572555</v>
      </c>
      <c r="AF101" s="57">
        <f t="shared" si="88"/>
        <v>7.7188170053512932</v>
      </c>
      <c r="AG101" s="57">
        <f t="shared" si="89"/>
        <v>4.6121826401558446</v>
      </c>
      <c r="AH101" s="315" t="str">
        <f t="shared" si="90"/>
        <v/>
      </c>
      <c r="AI101" s="313">
        <f t="shared" si="99"/>
        <v>1.0917646461561514</v>
      </c>
      <c r="AJ101" s="313">
        <f t="shared" si="91"/>
        <v>1.0917646461561514</v>
      </c>
      <c r="AK101" s="313">
        <f t="shared" si="92"/>
        <v>1.0802453270901589</v>
      </c>
      <c r="AL101" s="313">
        <f t="shared" si="93"/>
        <v>1.0472019800350711</v>
      </c>
    </row>
    <row r="102" spans="1:38" x14ac:dyDescent="0.2">
      <c r="A102" s="396"/>
      <c r="B102" s="102" t="str">
        <f t="shared" si="100"/>
        <v>Exptal</v>
      </c>
      <c r="C102" s="103" t="s">
        <v>74</v>
      </c>
      <c r="D102" s="10">
        <v>9.8000000000000007</v>
      </c>
      <c r="E102" s="56">
        <f t="shared" si="94"/>
        <v>401.45</v>
      </c>
      <c r="F102" s="10">
        <v>404.4</v>
      </c>
      <c r="G102" s="10">
        <v>398.5</v>
      </c>
      <c r="H102" s="10">
        <v>400.5</v>
      </c>
      <c r="I102" s="10">
        <v>405.8</v>
      </c>
      <c r="J102" s="10">
        <v>394.5</v>
      </c>
      <c r="K102" s="315" t="str">
        <f t="shared" si="74"/>
        <v/>
      </c>
      <c r="L102" s="317"/>
      <c r="M102" s="57">
        <f t="shared" si="75"/>
        <v>-0.94999999999998863</v>
      </c>
      <c r="N102" s="57">
        <f t="shared" si="95"/>
        <v>-0.94999999999998863</v>
      </c>
      <c r="O102" s="57">
        <f t="shared" si="76"/>
        <v>-0.69956993211456042</v>
      </c>
      <c r="P102" s="57">
        <f t="shared" si="77"/>
        <v>-0.47438312788022596</v>
      </c>
      <c r="Q102" s="315" t="str">
        <f t="shared" si="78"/>
        <v/>
      </c>
      <c r="R102" s="106"/>
      <c r="S102" s="30" t="str">
        <f t="shared" si="79"/>
        <v>Exptal</v>
      </c>
      <c r="T102" s="30" t="str">
        <f t="shared" si="80"/>
        <v>Wil</v>
      </c>
      <c r="U102" s="56">
        <f t="shared" si="96"/>
        <v>9.8000000000000007</v>
      </c>
      <c r="V102" s="56">
        <f t="shared" si="97"/>
        <v>599.50559926882931</v>
      </c>
      <c r="W102" s="57">
        <f t="shared" si="81"/>
        <v>600.24044871463161</v>
      </c>
      <c r="X102" s="57">
        <f t="shared" si="82"/>
        <v>598.77074982302702</v>
      </c>
      <c r="Y102" s="57">
        <f t="shared" si="83"/>
        <v>599.27137665084138</v>
      </c>
      <c r="Z102" s="57">
        <f t="shared" si="84"/>
        <v>600.58604273917138</v>
      </c>
      <c r="AA102" s="57">
        <f t="shared" si="85"/>
        <v>597.76191402859297</v>
      </c>
      <c r="AB102" s="320" t="str">
        <f t="shared" si="86"/>
        <v/>
      </c>
      <c r="AC102" s="321"/>
      <c r="AD102" s="57">
        <f t="shared" si="87"/>
        <v>-0.23422261798793897</v>
      </c>
      <c r="AE102" s="57">
        <f t="shared" si="98"/>
        <v>-0.23422261798793897</v>
      </c>
      <c r="AF102" s="57">
        <f t="shared" si="88"/>
        <v>-0.15746279606548866</v>
      </c>
      <c r="AG102" s="57">
        <f t="shared" si="89"/>
        <v>-0.11791911642366987</v>
      </c>
      <c r="AH102" s="315" t="str">
        <f t="shared" si="90"/>
        <v/>
      </c>
      <c r="AI102" s="313">
        <f t="shared" si="99"/>
        <v>0.99766051469152828</v>
      </c>
      <c r="AJ102" s="313">
        <f t="shared" si="91"/>
        <v>0.99766051469152828</v>
      </c>
      <c r="AK102" s="313">
        <f t="shared" si="92"/>
        <v>0.99842661111550568</v>
      </c>
      <c r="AL102" s="313">
        <f t="shared" si="93"/>
        <v>0.99882150380846879</v>
      </c>
    </row>
    <row r="103" spans="1:38" x14ac:dyDescent="0.2">
      <c r="A103" s="396"/>
      <c r="B103" s="102" t="str">
        <f t="shared" si="100"/>
        <v>Exptal</v>
      </c>
      <c r="C103" s="103" t="s">
        <v>59</v>
      </c>
      <c r="D103" s="10">
        <v>17.5</v>
      </c>
      <c r="E103" s="56">
        <f t="shared" si="94"/>
        <v>399.8</v>
      </c>
      <c r="F103" s="10">
        <v>397.5</v>
      </c>
      <c r="G103" s="10">
        <v>402.1</v>
      </c>
      <c r="H103" s="10">
        <v>399.3</v>
      </c>
      <c r="I103" s="10">
        <v>388.2</v>
      </c>
      <c r="J103" s="10">
        <v>393.1</v>
      </c>
      <c r="K103" s="315" t="str">
        <f t="shared" si="74"/>
        <v/>
      </c>
      <c r="L103" s="316"/>
      <c r="M103" s="57">
        <f t="shared" si="75"/>
        <v>-0.5</v>
      </c>
      <c r="N103" s="57">
        <f t="shared" si="95"/>
        <v>-0.5</v>
      </c>
      <c r="O103" s="57">
        <f t="shared" si="76"/>
        <v>-0.66695337859029991</v>
      </c>
      <c r="P103" s="57">
        <f t="shared" si="77"/>
        <v>14.479576932801558</v>
      </c>
      <c r="Q103" s="315" t="str">
        <f t="shared" si="78"/>
        <v/>
      </c>
      <c r="R103" s="106"/>
      <c r="S103" s="30" t="str">
        <f t="shared" si="79"/>
        <v>Exptal</v>
      </c>
      <c r="T103" s="30" t="str">
        <f t="shared" si="80"/>
        <v>Wynn</v>
      </c>
      <c r="U103" s="56">
        <f t="shared" si="96"/>
        <v>17.5</v>
      </c>
      <c r="V103" s="56">
        <f t="shared" si="97"/>
        <v>599.09478739988072</v>
      </c>
      <c r="W103" s="57">
        <f t="shared" si="81"/>
        <v>598.51949340943861</v>
      </c>
      <c r="X103" s="57">
        <f t="shared" si="82"/>
        <v>599.67008139032282</v>
      </c>
      <c r="Y103" s="57">
        <f t="shared" si="83"/>
        <v>598.97130140691763</v>
      </c>
      <c r="Z103" s="57">
        <f t="shared" si="84"/>
        <v>596.15206707349091</v>
      </c>
      <c r="AA103" s="57">
        <f t="shared" si="85"/>
        <v>597.40640324278149</v>
      </c>
      <c r="AB103" s="320" t="str">
        <f t="shared" si="86"/>
        <v/>
      </c>
      <c r="AC103" s="321"/>
      <c r="AD103" s="57">
        <f t="shared" si="87"/>
        <v>-0.12348599296308294</v>
      </c>
      <c r="AE103" s="57">
        <f t="shared" si="98"/>
        <v>-0.12348599296308294</v>
      </c>
      <c r="AF103" s="57">
        <f t="shared" si="88"/>
        <v>-0.16089018685709805</v>
      </c>
      <c r="AG103" s="57">
        <f t="shared" si="89"/>
        <v>3.5394985464026414</v>
      </c>
      <c r="AH103" s="315" t="str">
        <f t="shared" si="90"/>
        <v/>
      </c>
      <c r="AI103" s="313">
        <f t="shared" si="99"/>
        <v>0.99876590219615358</v>
      </c>
      <c r="AJ103" s="313">
        <f t="shared" si="91"/>
        <v>0.99876590219615358</v>
      </c>
      <c r="AK103" s="313">
        <f t="shared" si="92"/>
        <v>0.99839239172019489</v>
      </c>
      <c r="AL103" s="313">
        <f t="shared" si="93"/>
        <v>1.0360288443268322</v>
      </c>
    </row>
    <row r="104" spans="1:38" x14ac:dyDescent="0.2">
      <c r="A104" s="396"/>
      <c r="B104" s="102" t="str">
        <f t="shared" si="100"/>
        <v>Exptal</v>
      </c>
      <c r="C104" s="103" t="s">
        <v>60</v>
      </c>
      <c r="D104" s="10">
        <v>10.1</v>
      </c>
      <c r="E104" s="56">
        <f t="shared" si="94"/>
        <v>420.75</v>
      </c>
      <c r="F104" s="10">
        <v>432.1</v>
      </c>
      <c r="G104" s="10">
        <v>409.4</v>
      </c>
      <c r="H104" s="10">
        <v>428.4</v>
      </c>
      <c r="I104" s="10">
        <v>416.2</v>
      </c>
      <c r="J104" s="10">
        <v>408</v>
      </c>
      <c r="K104" s="315" t="str">
        <f t="shared" si="74"/>
        <v/>
      </c>
      <c r="L104" s="316"/>
      <c r="M104" s="57">
        <f t="shared" si="75"/>
        <v>7.6499999999999773</v>
      </c>
      <c r="N104" s="57">
        <f t="shared" si="95"/>
        <v>7.6499999999999773</v>
      </c>
      <c r="O104" s="57">
        <f t="shared" si="76"/>
        <v>12.78255159332884</v>
      </c>
      <c r="P104" s="57">
        <f t="shared" si="77"/>
        <v>8.6907062251333151</v>
      </c>
      <c r="Q104" s="315" t="str">
        <f t="shared" si="78"/>
        <v/>
      </c>
      <c r="R104" s="106"/>
      <c r="S104" s="30" t="str">
        <f t="shared" si="79"/>
        <v>Exptal</v>
      </c>
      <c r="T104" s="30" t="str">
        <f t="shared" si="80"/>
        <v>Zane</v>
      </c>
      <c r="U104" s="56">
        <f t="shared" si="96"/>
        <v>10.1</v>
      </c>
      <c r="V104" s="56">
        <f t="shared" si="97"/>
        <v>604.16748580825379</v>
      </c>
      <c r="W104" s="57">
        <f t="shared" si="81"/>
        <v>606.86570429378878</v>
      </c>
      <c r="X104" s="57">
        <f t="shared" si="82"/>
        <v>601.46926732271891</v>
      </c>
      <c r="Y104" s="57">
        <f t="shared" si="83"/>
        <v>606.00573385735936</v>
      </c>
      <c r="Z104" s="57">
        <f t="shared" si="84"/>
        <v>603.11659139595349</v>
      </c>
      <c r="AA104" s="57">
        <f t="shared" si="85"/>
        <v>601.1267174404162</v>
      </c>
      <c r="AB104" s="320" t="str">
        <f t="shared" si="86"/>
        <v/>
      </c>
      <c r="AC104" s="322"/>
      <c r="AD104" s="57">
        <f t="shared" si="87"/>
        <v>1.838248049105573</v>
      </c>
      <c r="AE104" s="57">
        <f t="shared" si="98"/>
        <v>1.838248049105573</v>
      </c>
      <c r="AF104" s="57">
        <f t="shared" si="88"/>
        <v>3.2105393024434439</v>
      </c>
      <c r="AG104" s="57">
        <f t="shared" si="89"/>
        <v>2.0927339287660023</v>
      </c>
      <c r="AH104" s="315" t="str">
        <f t="shared" si="90"/>
        <v/>
      </c>
      <c r="AI104" s="313">
        <f t="shared" si="99"/>
        <v>1.0185524783486799</v>
      </c>
      <c r="AJ104" s="313">
        <f t="shared" si="91"/>
        <v>1.0185524783486799</v>
      </c>
      <c r="AK104" s="313">
        <f t="shared" si="92"/>
        <v>1.0326263311824275</v>
      </c>
      <c r="AL104" s="313">
        <f t="shared" si="93"/>
        <v>1.0211478516115453</v>
      </c>
    </row>
    <row r="105" spans="1:38" x14ac:dyDescent="0.2">
      <c r="A105" s="396"/>
      <c r="B105" s="108"/>
      <c r="C105" s="109" t="s">
        <v>2</v>
      </c>
      <c r="D105" s="89">
        <f t="shared" ref="D105:J105" si="101">AVERAGE(D85:D104)</f>
        <v>9.7149999999999999</v>
      </c>
      <c r="E105" s="89">
        <f t="shared" si="101"/>
        <v>399.19000000000005</v>
      </c>
      <c r="F105" s="89">
        <f t="shared" si="101"/>
        <v>400.27999999999992</v>
      </c>
      <c r="G105" s="89">
        <f t="shared" ref="G105:I105" si="102">AVERAGE(G85:G104)</f>
        <v>398.1</v>
      </c>
      <c r="H105" s="89">
        <f t="shared" si="102"/>
        <v>408.97999999999996</v>
      </c>
      <c r="I105" s="89">
        <f t="shared" si="102"/>
        <v>403.34499999999997</v>
      </c>
      <c r="J105" s="89">
        <f t="shared" si="101"/>
        <v>403.98500000000001</v>
      </c>
      <c r="K105" s="110"/>
      <c r="L105" s="121" t="s">
        <v>182</v>
      </c>
      <c r="M105" s="89">
        <f>IF(ISNUMBER(M$47),SLOPE(M85:M104,D85:D104)*IF(M$47=-1,D105,M$47),IF(ISNUMBER(M$44),FORECAST(M$44,M85:M104,D85:D104),AVERAGE(M85:M104)))</f>
        <v>9.7899999999999974</v>
      </c>
      <c r="N105" s="89">
        <f>IF(ISNUMBER(N$47),SLOPE(N85:N104,E85:E104)*IF(N$47=-1,E105,N$47),IF(ISNUMBER(N$44),FORECAST(N$44,N85:N104,E85:E104),AVERAGE(N85:N104)))</f>
        <v>9.7899999999999974</v>
      </c>
      <c r="O105" s="89">
        <f>IF(ISNUMBER(O$47),D113*IF(O$47=-1,D105,O$47),E113+O$44*D113+P$44*C113)</f>
        <v>9.7842494481451894</v>
      </c>
      <c r="P105" s="90">
        <f>IF(ISNUMBER(P$47),C113*IF(P$47=-1,E105,P$47),E113+O$44*D113+P$44*C113)</f>
        <v>9.7842494481451894</v>
      </c>
      <c r="Q105" s="18"/>
      <c r="R105" s="106"/>
      <c r="S105" s="108"/>
      <c r="T105" s="109" t="s">
        <v>2</v>
      </c>
      <c r="U105" s="89">
        <f t="shared" ref="U105:AA105" si="103">AVERAGE(U85:U104)</f>
        <v>9.7149999999999999</v>
      </c>
      <c r="V105" s="89">
        <f t="shared" si="103"/>
        <v>598.90901524185915</v>
      </c>
      <c r="W105" s="111">
        <f t="shared" si="103"/>
        <v>599.16948700194212</v>
      </c>
      <c r="X105" s="111">
        <f t="shared" ref="X105:Z105" si="104">AVERAGE(X85:X104)</f>
        <v>598.64854348177607</v>
      </c>
      <c r="Y105" s="111">
        <f t="shared" si="104"/>
        <v>601.31971678231491</v>
      </c>
      <c r="Z105" s="111">
        <f t="shared" si="104"/>
        <v>599.94370063084898</v>
      </c>
      <c r="AA105" s="111">
        <f t="shared" si="103"/>
        <v>600.11026286185552</v>
      </c>
      <c r="AB105" s="111"/>
      <c r="AC105" s="121" t="s">
        <v>207</v>
      </c>
      <c r="AD105" s="112">
        <f>IF(ISNUMBER(AD$47),SLOPE(AD85:AD104,U85:U104)*IF(AD$47=-1,U105,AD$47),IF(ISNUMBER(AD$44),FORECAST(AD$44,AD85:AD104,U85:U104),AVERAGE(AD85:AD104)))</f>
        <v>2.4107015404558352</v>
      </c>
      <c r="AE105" s="112">
        <f>IF(ISNUMBER(AE$47),SLOPE(AE85:AE104,V85:V104)*IF(AE$47=-1,V105,AE$47),IF(ISNUMBER(AE$44),FORECAST(AE$44,AE85:AE104,V85:V104),AVERAGE(AE85:AE104)))</f>
        <v>2.4107015404558352</v>
      </c>
      <c r="AF105" s="112">
        <f>IF(ISNUMBER(AF$47),U113*IF(AF$47=-1,U105,AF$47),V113+AF$44*U113+AG$44*T113)</f>
        <v>2.3988233641020429</v>
      </c>
      <c r="AG105" s="112">
        <f>IF(ISNUMBER(AG$47),T113*IF(AG$47=-1,V105,AG$47),V113+AF$44*U113+AG$44*T113)</f>
        <v>2.3988233641020429</v>
      </c>
      <c r="AH105" s="38"/>
      <c r="AI105" s="113"/>
      <c r="AJ105" s="34"/>
      <c r="AK105" s="34"/>
      <c r="AL105" s="18"/>
    </row>
    <row r="106" spans="1:38" x14ac:dyDescent="0.2">
      <c r="A106" s="396"/>
      <c r="B106" s="114"/>
      <c r="C106" s="115" t="s">
        <v>3</v>
      </c>
      <c r="D106" s="91">
        <f t="shared" ref="D106:J106" si="105">STDEV(D85:D104)</f>
        <v>4.5026629547647135</v>
      </c>
      <c r="E106" s="91">
        <f t="shared" si="105"/>
        <v>9.9770869074041215</v>
      </c>
      <c r="F106" s="91">
        <f t="shared" si="105"/>
        <v>12.699838374437769</v>
      </c>
      <c r="G106" s="91">
        <f t="shared" ref="G106:I106" si="106">STDEV(G85:G104)</f>
        <v>8.5756693769733108</v>
      </c>
      <c r="H106" s="91">
        <f t="shared" si="106"/>
        <v>12.905347728751828</v>
      </c>
      <c r="I106" s="91">
        <f t="shared" si="106"/>
        <v>11.08790118244111</v>
      </c>
      <c r="J106" s="91">
        <f t="shared" si="105"/>
        <v>9.724265633211747</v>
      </c>
      <c r="K106" s="116"/>
      <c r="L106" s="117" t="s">
        <v>183</v>
      </c>
      <c r="M106" s="92">
        <f>IF(OR(ISNUMBER(M$47),ISNUMBER(M$44)),STEYX(M85:M104,D85:D104),STDEV(M85:M104))</f>
        <v>12.114178296090648</v>
      </c>
      <c r="N106" s="92">
        <f>IF(OR(ISNUMBER(N$47),ISNUMBER(N$44)),STEYX(N85:N104,E85:E104),STDEV(N85:N104))</f>
        <v>12.114178296090648</v>
      </c>
      <c r="O106" s="92">
        <f>D115</f>
        <v>8.2580250622914466</v>
      </c>
      <c r="P106" s="93">
        <f>D115</f>
        <v>8.2580250622914466</v>
      </c>
      <c r="Q106" s="18"/>
      <c r="R106" s="106"/>
      <c r="S106" s="114"/>
      <c r="T106" s="115" t="s">
        <v>3</v>
      </c>
      <c r="U106" s="91">
        <f t="shared" ref="U106:AA106" si="107">STDEV(U85:U104)</f>
        <v>4.5026629547647135</v>
      </c>
      <c r="V106" s="91">
        <f t="shared" si="107"/>
        <v>2.4684354716812074</v>
      </c>
      <c r="W106" s="57">
        <f t="shared" si="107"/>
        <v>3.1295544238465181</v>
      </c>
      <c r="X106" s="57">
        <f t="shared" ref="X106:Z106" si="108">STDEV(X85:X104)</f>
        <v>2.1349703328770442</v>
      </c>
      <c r="Y106" s="57">
        <f t="shared" si="108"/>
        <v>3.1362744178477198</v>
      </c>
      <c r="Z106" s="57">
        <f t="shared" si="108"/>
        <v>2.7278274859217402</v>
      </c>
      <c r="AA106" s="57">
        <f t="shared" si="107"/>
        <v>2.4064967619051791</v>
      </c>
      <c r="AB106" s="57"/>
      <c r="AC106" s="118" t="s">
        <v>188</v>
      </c>
      <c r="AD106" s="119">
        <f>IF(OR(ISNUMBER(AD$47),ISNUMBER(AD$44)),STEYX(AD85:AD104,U85:U104),STDEV(AD85:AD104))</f>
        <v>2.9973543503551725</v>
      </c>
      <c r="AE106" s="119">
        <f>IF(OR(ISNUMBER(AE$47),ISNUMBER(AE$44)),STEYX(AE85:AE104,V85:V104),STDEV(AE85:AE104))</f>
        <v>2.9973543503551725</v>
      </c>
      <c r="AF106" s="119">
        <f>U115</f>
        <v>2.0326857197585824</v>
      </c>
      <c r="AG106" s="119">
        <f>U115</f>
        <v>2.0326857197585824</v>
      </c>
      <c r="AH106" s="38"/>
      <c r="AI106" s="113"/>
      <c r="AJ106" s="34"/>
      <c r="AK106" s="34"/>
      <c r="AL106" s="18"/>
    </row>
    <row r="107" spans="1:38" x14ac:dyDescent="0.2">
      <c r="A107" s="396"/>
      <c r="B107" s="114"/>
      <c r="C107" s="168" t="s">
        <v>47</v>
      </c>
      <c r="D107" s="169">
        <f t="shared" ref="D107:J107" si="109">D106/SQRT(D109)</f>
        <v>1.006826044662396</v>
      </c>
      <c r="E107" s="169">
        <f t="shared" si="109"/>
        <v>2.2309444542378762</v>
      </c>
      <c r="F107" s="169">
        <f t="shared" si="109"/>
        <v>2.8397701908503277</v>
      </c>
      <c r="G107" s="169">
        <f t="shared" si="109"/>
        <v>1.9175779679475591</v>
      </c>
      <c r="H107" s="169">
        <f t="shared" si="109"/>
        <v>2.8857234794761601</v>
      </c>
      <c r="I107" s="169">
        <f t="shared" si="109"/>
        <v>2.479330077173862</v>
      </c>
      <c r="J107" s="169">
        <f t="shared" si="109"/>
        <v>2.1744118987126502</v>
      </c>
      <c r="K107" s="16"/>
      <c r="L107" s="262" t="s">
        <v>190</v>
      </c>
      <c r="M107" s="263">
        <f>IF(ISNUMBER(M$47),IF(M$47=-1,D105,ABS(M$47))*STEYX(M85:M104,D85:D104)/(SQRT(COUNT(M85:M104)-1))/D106,IF(ISNUMBER(M$44),M106*SQRT(1/COUNT(M85:M104)+1/(COUNT(M85:M104)-1)*(M$44-D105)^2/D106^2),M106/SQRT(COUNT(M85:M104))))</f>
        <v>2.7088126161611261</v>
      </c>
      <c r="N107" s="263">
        <f>IF(ISNUMBER(N$47),IF(N$47=-1,E105,ABS(N$47))*STEYX(N85:N104,E85:E104)/(SQRT(COUNT(N85:N104)-1))/E106,IF(ISNUMBER(N$44),N106*SQRT(1/COUNT(N85:N104)+1/(COUNT(N85:N104)-1)*(N$44-E105)^2/E106^2),N106/SQRT(COUNT(N85:N104))))</f>
        <v>2.7088126161611261</v>
      </c>
      <c r="O107" s="263">
        <f>IF(ISNUMBER(O$47),IF(O$47=-1,D105,ABS(O$47))*D114,F115)</f>
        <v>1.8657226119363866</v>
      </c>
      <c r="P107" s="263">
        <f>IF(ISNUMBER(P$47),IF(P$47=-1,E105,ABS(P$47))*C114,F115)</f>
        <v>1.8657226119363866</v>
      </c>
      <c r="Q107" s="18"/>
      <c r="R107" s="106"/>
      <c r="S107" s="114"/>
      <c r="T107" s="168" t="s">
        <v>47</v>
      </c>
      <c r="U107" s="169">
        <f t="shared" ref="U107:AA107" si="110">U106/SQRT(COUNT(U85:U104))</f>
        <v>1.006826044662396</v>
      </c>
      <c r="V107" s="169">
        <f t="shared" si="110"/>
        <v>0.55195895127509365</v>
      </c>
      <c r="W107" s="169">
        <f t="shared" si="110"/>
        <v>0.69978964310060032</v>
      </c>
      <c r="X107" s="169">
        <f t="shared" si="110"/>
        <v>0.47739387942584249</v>
      </c>
      <c r="Y107" s="169">
        <f t="shared" si="110"/>
        <v>0.70129227944010808</v>
      </c>
      <c r="Z107" s="169">
        <f t="shared" si="110"/>
        <v>0.60996076894133611</v>
      </c>
      <c r="AA107" s="169">
        <f t="shared" si="110"/>
        <v>0.53810903472531069</v>
      </c>
      <c r="AB107" s="57"/>
      <c r="AC107" s="261" t="s">
        <v>189</v>
      </c>
      <c r="AD107" s="263">
        <f>IF(ISNUMBER(AD$47),IF(AD$47=-1,U105,ABS(AD$47))*STEYX(AD85:AD104,U85:U104)/(SQRT(COUNT(AD85:AD104)-1))/U106,IF(ISNUMBER(AD$44),AD106*SQRT(1/COUNT(AD85:AD104)+1/(COUNT(AD85:AD104)-1)*(AD$44-U105)^2/U106^2),AD106/SQRT(COUNT(AD85:AD104))))</f>
        <v>0.6702288080048886</v>
      </c>
      <c r="AE107" s="263">
        <f>IF(ISNUMBER(AE$47),IF(AE$47=-1,V105,ABS(AE$47))*STEYX(AE85:AE104,V85:V104)/(SQRT(COUNT(AE85:AE104)-1))/V106,IF(ISNUMBER(AE$44),AE106*SQRT(1/COUNT(AE85:AE104)+1/(COUNT(AE85:AE104)-1)*(AE$44-V105)^2/V106^2),AE106/SQRT(COUNT(AE85:AE104))))</f>
        <v>0.6702288080048886</v>
      </c>
      <c r="AF107" s="263">
        <f>IF(ISNUMBER(AF$47),IF(AF$47=-1,U105,ABS(AF$47))*U114,W115)</f>
        <v>0.45943688433812241</v>
      </c>
      <c r="AG107" s="263">
        <f>IF(ISNUMBER(AG$47),IF(AG$47=-1,V105,ABS(AG$47))*T114,W115)</f>
        <v>0.45943688433812241</v>
      </c>
      <c r="AH107" s="38"/>
      <c r="AI107" s="113"/>
      <c r="AJ107" s="34"/>
      <c r="AK107" s="34"/>
      <c r="AL107" s="18"/>
    </row>
    <row r="108" spans="1:38" x14ac:dyDescent="0.2">
      <c r="A108" s="396"/>
      <c r="B108" s="114"/>
      <c r="C108" s="168" t="s">
        <v>49</v>
      </c>
      <c r="D108" s="170">
        <f t="shared" ref="D108:J108" si="111">D109-1</f>
        <v>19</v>
      </c>
      <c r="E108" s="170">
        <f t="shared" si="111"/>
        <v>19</v>
      </c>
      <c r="F108" s="170">
        <f t="shared" si="111"/>
        <v>19</v>
      </c>
      <c r="G108" s="170">
        <f t="shared" si="111"/>
        <v>19</v>
      </c>
      <c r="H108" s="170">
        <f t="shared" si="111"/>
        <v>19</v>
      </c>
      <c r="I108" s="170">
        <f t="shared" si="111"/>
        <v>19</v>
      </c>
      <c r="J108" s="170">
        <f t="shared" si="111"/>
        <v>19</v>
      </c>
      <c r="K108" s="16"/>
      <c r="L108" s="262" t="s">
        <v>84</v>
      </c>
      <c r="M108" s="264">
        <f>IF(OR(ISNUMBER(M$47),ISNUMBER(M$44)),COUNT(M85:M104)-2,COUNT(M85:M104)-1)</f>
        <v>19</v>
      </c>
      <c r="N108" s="264">
        <f>IF(OR(ISNUMBER(N$47),ISNUMBER(N$44)),COUNT(N85:N104)-2,COUNT(N85:N104)-1)</f>
        <v>19</v>
      </c>
      <c r="O108" s="264">
        <f>COUNT(O85:O104)-3</f>
        <v>17</v>
      </c>
      <c r="P108" s="264">
        <f>COUNT(P85:P104)-3</f>
        <v>17</v>
      </c>
      <c r="Q108" s="18"/>
      <c r="R108" s="106"/>
      <c r="S108" s="114"/>
      <c r="T108" s="168" t="s">
        <v>49</v>
      </c>
      <c r="U108" s="170">
        <f t="shared" ref="U108:AA108" si="112">COUNT(U85:U104)-1</f>
        <v>19</v>
      </c>
      <c r="V108" s="170">
        <f t="shared" si="112"/>
        <v>19</v>
      </c>
      <c r="W108" s="170">
        <f t="shared" si="112"/>
        <v>19</v>
      </c>
      <c r="X108" s="170">
        <f t="shared" si="112"/>
        <v>19</v>
      </c>
      <c r="Y108" s="170">
        <f t="shared" si="112"/>
        <v>19</v>
      </c>
      <c r="Z108" s="170">
        <f t="shared" si="112"/>
        <v>19</v>
      </c>
      <c r="AA108" s="170">
        <f t="shared" si="112"/>
        <v>19</v>
      </c>
      <c r="AB108" s="57"/>
      <c r="AC108" s="262" t="s">
        <v>84</v>
      </c>
      <c r="AD108" s="264">
        <f>IF(OR(ISNUMBER(AD$47),ISNUMBER(AD$44)),COUNT(AD85:AD104)-2,COUNT(AD85:AD104)-1)</f>
        <v>19</v>
      </c>
      <c r="AE108" s="264">
        <f>IF(OR(ISNUMBER(AE$47),ISNUMBER(AE$44)),COUNT(AE85:AE104)-2,COUNT(AE85:AE104)-1)</f>
        <v>19</v>
      </c>
      <c r="AF108" s="264">
        <f>COUNT(AF85:AF104)-3</f>
        <v>17</v>
      </c>
      <c r="AG108" s="264">
        <f>COUNT(AG85:AG104)-3</f>
        <v>17</v>
      </c>
      <c r="AH108" s="546" t="str">
        <f>"Graph of custom effect vs "&amp;D51&amp;IF(ISTEXT(E51)," not adjusted for "&amp;E51,"")</f>
        <v>Graph of custom effect vs X1 not adjusted for X2</v>
      </c>
      <c r="AI108" s="546"/>
      <c r="AJ108" s="546"/>
      <c r="AK108" s="546"/>
      <c r="AL108" s="546"/>
    </row>
    <row r="109" spans="1:38" x14ac:dyDescent="0.2">
      <c r="A109" s="396"/>
      <c r="B109" s="114"/>
      <c r="C109" s="115" t="s">
        <v>37</v>
      </c>
      <c r="D109" s="94">
        <f t="shared" ref="D109:J109" si="113">COUNT(D85:D104)</f>
        <v>20</v>
      </c>
      <c r="E109" s="94">
        <f t="shared" si="113"/>
        <v>20</v>
      </c>
      <c r="F109" s="94">
        <f t="shared" si="113"/>
        <v>20</v>
      </c>
      <c r="G109" s="94">
        <f t="shared" ref="G109:I109" si="114">COUNT(G85:G104)</f>
        <v>20</v>
      </c>
      <c r="H109" s="94">
        <f t="shared" si="114"/>
        <v>20</v>
      </c>
      <c r="I109" s="94">
        <f t="shared" si="114"/>
        <v>20</v>
      </c>
      <c r="J109" s="94">
        <f t="shared" si="113"/>
        <v>20</v>
      </c>
      <c r="K109" s="110"/>
      <c r="L109" s="109" t="s">
        <v>184</v>
      </c>
      <c r="M109" s="89">
        <f t="shared" ref="M109:P110" si="115">M105/$F$133</f>
        <v>0.93406161142393551</v>
      </c>
      <c r="N109" s="89">
        <f t="shared" si="115"/>
        <v>0.93406161142393551</v>
      </c>
      <c r="O109" s="89">
        <f t="shared" si="115"/>
        <v>0.93351295261575584</v>
      </c>
      <c r="P109" s="90">
        <f t="shared" si="115"/>
        <v>0.93351295261575584</v>
      </c>
      <c r="Q109" s="18" t="str">
        <f>"  Graph of custom effect vs "&amp;D51</f>
        <v xml:space="preserve">  Graph of custom effect vs X1</v>
      </c>
      <c r="R109" s="106"/>
      <c r="S109" s="114"/>
      <c r="T109" s="115" t="s">
        <v>37</v>
      </c>
      <c r="U109" s="94">
        <f t="shared" ref="U109:AA109" si="116">COUNT(U85:U104)</f>
        <v>20</v>
      </c>
      <c r="V109" s="94">
        <f t="shared" si="116"/>
        <v>20</v>
      </c>
      <c r="W109" s="94">
        <f t="shared" si="116"/>
        <v>20</v>
      </c>
      <c r="X109" s="94">
        <f t="shared" ref="X109:Z109" si="117">COUNT(X85:X104)</f>
        <v>20</v>
      </c>
      <c r="Y109" s="94">
        <f t="shared" si="117"/>
        <v>20</v>
      </c>
      <c r="Z109" s="94">
        <f t="shared" si="117"/>
        <v>20</v>
      </c>
      <c r="AA109" s="94">
        <f t="shared" si="116"/>
        <v>20</v>
      </c>
      <c r="AB109" s="120"/>
      <c r="AC109" s="121" t="s">
        <v>186</v>
      </c>
      <c r="AD109" s="95">
        <f t="shared" ref="AD109:AG110" si="118">100*EXP(AD105/100)-100</f>
        <v>2.4399938598823354</v>
      </c>
      <c r="AE109" s="95">
        <f t="shared" si="118"/>
        <v>2.4399938598823354</v>
      </c>
      <c r="AF109" s="95">
        <f t="shared" si="118"/>
        <v>2.4278265793946616</v>
      </c>
      <c r="AG109" s="96">
        <f t="shared" si="118"/>
        <v>2.4278265793946616</v>
      </c>
      <c r="AH109" s="38"/>
      <c r="AI109" s="113" t="s">
        <v>258</v>
      </c>
      <c r="AJ109" s="34"/>
      <c r="AK109" s="34"/>
      <c r="AL109" s="18"/>
    </row>
    <row r="110" spans="1:38" x14ac:dyDescent="0.2">
      <c r="A110" s="396"/>
      <c r="B110" s="114"/>
      <c r="C110" s="115"/>
      <c r="D110" s="115"/>
      <c r="E110" s="115"/>
      <c r="F110" s="16"/>
      <c r="G110" s="16"/>
      <c r="H110" s="16"/>
      <c r="I110" s="16"/>
      <c r="J110" s="16"/>
      <c r="K110" s="116"/>
      <c r="L110" s="117" t="s">
        <v>185</v>
      </c>
      <c r="M110" s="92">
        <f t="shared" si="115"/>
        <v>1.1558109193384369</v>
      </c>
      <c r="N110" s="92">
        <f t="shared" si="115"/>
        <v>1.1558109193384369</v>
      </c>
      <c r="O110" s="92">
        <f t="shared" si="115"/>
        <v>0.78789624074189946</v>
      </c>
      <c r="P110" s="93">
        <f t="shared" si="115"/>
        <v>0.78789624074189946</v>
      </c>
      <c r="Q110" s="18" t="str">
        <f>IF(ISTEXT(E51),"  not adjusted for "&amp;E51,"")</f>
        <v xml:space="preserve">  not adjusted for X2</v>
      </c>
      <c r="R110" s="106"/>
      <c r="S110" s="114"/>
      <c r="T110" s="115" t="s">
        <v>6</v>
      </c>
      <c r="U110" s="97" t="str">
        <f>IF(U105=D105,"",EXP(U105/100))</f>
        <v/>
      </c>
      <c r="V110" s="97">
        <f>IF(V105=E105,"",EXP(V105/100))</f>
        <v>399.05136878238523</v>
      </c>
      <c r="W110" s="97">
        <f t="shared" ref="W110:AA110" si="119">EXP(W105/100)</f>
        <v>400.09213977511882</v>
      </c>
      <c r="X110" s="97">
        <f t="shared" si="119"/>
        <v>398.01330517665417</v>
      </c>
      <c r="Y110" s="97">
        <f t="shared" si="119"/>
        <v>408.78819767845152</v>
      </c>
      <c r="Z110" s="97">
        <f t="shared" si="119"/>
        <v>403.20172955080625</v>
      </c>
      <c r="AA110" s="97">
        <f t="shared" si="119"/>
        <v>403.87387095847151</v>
      </c>
      <c r="AB110" s="122"/>
      <c r="AC110" s="117" t="s">
        <v>77</v>
      </c>
      <c r="AD110" s="98">
        <f t="shared" si="118"/>
        <v>3.0427272097427505</v>
      </c>
      <c r="AE110" s="98">
        <f t="shared" si="118"/>
        <v>3.0427272097427505</v>
      </c>
      <c r="AF110" s="98">
        <f t="shared" si="118"/>
        <v>2.0534854680593497</v>
      </c>
      <c r="AG110" s="99">
        <f t="shared" si="118"/>
        <v>2.0534854680593497</v>
      </c>
      <c r="AH110" s="38"/>
      <c r="AI110" s="113" t="s">
        <v>260</v>
      </c>
      <c r="AJ110" s="34"/>
      <c r="AK110" s="34"/>
      <c r="AL110" s="18"/>
    </row>
    <row r="111" spans="1:38" ht="15" customHeight="1" x14ac:dyDescent="0.2">
      <c r="A111" s="396"/>
      <c r="B111" s="114"/>
      <c r="C111" s="18"/>
      <c r="D111" s="18"/>
      <c r="E111" s="18"/>
      <c r="F111" s="18"/>
      <c r="G111" s="16"/>
      <c r="H111" s="16"/>
      <c r="I111" s="16"/>
      <c r="J111" s="16"/>
      <c r="K111" s="16"/>
      <c r="L111" s="16"/>
      <c r="M111" s="16"/>
      <c r="N111" s="16"/>
      <c r="O111" s="16"/>
      <c r="P111" s="16"/>
      <c r="Q111" s="18"/>
      <c r="R111" s="106"/>
      <c r="S111" s="114"/>
      <c r="T111" s="115" t="s">
        <v>7</v>
      </c>
      <c r="U111" s="97" t="str">
        <f>IF(U105=D105,"",100*EXP(U106/100)-100)</f>
        <v/>
      </c>
      <c r="V111" s="97">
        <f>IF(V105=E105,"",100*EXP(V106/100)-100)</f>
        <v>2.4991535714549968</v>
      </c>
      <c r="W111" s="97">
        <f t="shared" ref="W111:AA111" si="120">100*EXP(W106/100)-100</f>
        <v>3.179039853696608</v>
      </c>
      <c r="X111" s="97">
        <f t="shared" si="120"/>
        <v>2.1579238839536856</v>
      </c>
      <c r="Y111" s="97">
        <f t="shared" si="120"/>
        <v>3.1859737119601022</v>
      </c>
      <c r="Z111" s="97">
        <f t="shared" si="120"/>
        <v>2.7653733175945376</v>
      </c>
      <c r="AA111" s="97">
        <f t="shared" si="120"/>
        <v>2.4356865755497523</v>
      </c>
      <c r="AB111" s="110"/>
      <c r="AC111" s="109" t="s">
        <v>187</v>
      </c>
      <c r="AD111" s="265">
        <f t="shared" ref="AD111:AG112" si="121">EXP(AD105/100)</f>
        <v>1.0243999385988234</v>
      </c>
      <c r="AE111" s="265">
        <f t="shared" si="121"/>
        <v>1.0243999385988234</v>
      </c>
      <c r="AF111" s="265">
        <f t="shared" si="121"/>
        <v>1.0242782657939467</v>
      </c>
      <c r="AG111" s="266">
        <f t="shared" si="121"/>
        <v>1.0242782657939467</v>
      </c>
      <c r="AH111" s="18"/>
      <c r="AI111" s="113"/>
      <c r="AJ111" s="34"/>
      <c r="AK111" s="34"/>
      <c r="AL111" s="18"/>
    </row>
    <row r="112" spans="1:38" x14ac:dyDescent="0.2">
      <c r="A112" s="396"/>
      <c r="B112" s="124"/>
      <c r="C112" s="18"/>
      <c r="D112" s="18"/>
      <c r="E112" s="18"/>
      <c r="F112" s="18"/>
      <c r="G112" s="16"/>
      <c r="H112" s="16"/>
      <c r="I112" s="16"/>
      <c r="J112" s="16"/>
      <c r="K112" s="16"/>
      <c r="L112" s="16"/>
      <c r="M112" s="16"/>
      <c r="N112" s="16"/>
      <c r="O112" s="16"/>
      <c r="P112" s="16"/>
      <c r="Q112" s="18"/>
      <c r="R112" s="106"/>
      <c r="S112" s="114"/>
      <c r="T112" s="115" t="s">
        <v>8</v>
      </c>
      <c r="U112" s="91" t="str">
        <f>IF(U105=D105,"",EXP(U106/100))</f>
        <v/>
      </c>
      <c r="V112" s="91">
        <f>IF(V105=E105,"",EXP(V106/100))</f>
        <v>1.02499153571455</v>
      </c>
      <c r="W112" s="91">
        <f t="shared" ref="W112:AA112" si="122">EXP(W106/100)</f>
        <v>1.0317903985369661</v>
      </c>
      <c r="X112" s="91">
        <f t="shared" si="122"/>
        <v>1.0215792388395368</v>
      </c>
      <c r="Y112" s="91">
        <f t="shared" si="122"/>
        <v>1.031859737119601</v>
      </c>
      <c r="Z112" s="91">
        <f t="shared" si="122"/>
        <v>1.0276537331759454</v>
      </c>
      <c r="AA112" s="91">
        <f t="shared" si="122"/>
        <v>1.0243568657554976</v>
      </c>
      <c r="AB112" s="116"/>
      <c r="AC112" s="117" t="s">
        <v>78</v>
      </c>
      <c r="AD112" s="92">
        <f t="shared" si="121"/>
        <v>1.0304272720974275</v>
      </c>
      <c r="AE112" s="92">
        <f t="shared" si="121"/>
        <v>1.0304272720974275</v>
      </c>
      <c r="AF112" s="92">
        <f t="shared" si="121"/>
        <v>1.0205348546805935</v>
      </c>
      <c r="AG112" s="93">
        <f t="shared" si="121"/>
        <v>1.0205348546805935</v>
      </c>
      <c r="AH112" s="18"/>
      <c r="AI112" s="113"/>
      <c r="AJ112" s="34"/>
      <c r="AK112" s="34"/>
      <c r="AL112" s="18"/>
    </row>
    <row r="113" spans="1:38" x14ac:dyDescent="0.2">
      <c r="A113" s="396"/>
      <c r="B113" s="267" t="s">
        <v>132</v>
      </c>
      <c r="C113" s="268">
        <f t="array" ref="C113:E115">LINEST(M85:M104,D85:E104,1,1)</f>
        <v>-0.25295966453074775</v>
      </c>
      <c r="D113" s="268">
        <v>-1.8836311767119218</v>
      </c>
      <c r="E113" s="269">
        <v>129.06844536578552</v>
      </c>
      <c r="F113" s="270"/>
      <c r="G113" s="16"/>
      <c r="H113" s="16"/>
      <c r="I113" s="16"/>
      <c r="J113" s="16"/>
      <c r="K113" s="16"/>
      <c r="L113" s="16"/>
      <c r="M113" s="16"/>
      <c r="N113" s="16"/>
      <c r="O113" s="16"/>
      <c r="P113" s="16"/>
      <c r="Q113" s="18"/>
      <c r="R113" s="106"/>
      <c r="S113" s="267" t="s">
        <v>132</v>
      </c>
      <c r="T113" s="268">
        <f t="array" ref="T113:V115">LINEST(AD85:AD104,U85:V104,1,1)</f>
        <v>-0.27789853323529379</v>
      </c>
      <c r="U113" s="268">
        <v>-0.46060792698720204</v>
      </c>
      <c r="V113" s="279">
        <v>173.32144442824338</v>
      </c>
      <c r="W113" s="280"/>
      <c r="X113" s="125"/>
      <c r="Y113" s="125"/>
      <c r="Z113" s="125"/>
      <c r="AA113" s="125"/>
      <c r="AB113" s="110"/>
      <c r="AC113" s="109" t="s">
        <v>184</v>
      </c>
      <c r="AD113" s="89">
        <f t="shared" ref="AD113:AG114" si="123">AD105/$W$133</f>
        <v>0.92930080442458896</v>
      </c>
      <c r="AE113" s="89">
        <f t="shared" si="123"/>
        <v>0.92930080442458896</v>
      </c>
      <c r="AF113" s="89">
        <f t="shared" si="123"/>
        <v>0.92472188884527207</v>
      </c>
      <c r="AG113" s="90">
        <f t="shared" si="123"/>
        <v>0.92472188884527207</v>
      </c>
      <c r="AH113" s="18"/>
      <c r="AI113" s="113"/>
      <c r="AJ113" s="34"/>
      <c r="AK113" s="34"/>
      <c r="AL113" s="18"/>
    </row>
    <row r="114" spans="1:38" x14ac:dyDescent="0.2">
      <c r="A114" s="396"/>
      <c r="B114" s="271" t="s">
        <v>133</v>
      </c>
      <c r="C114" s="272">
        <v>0.19281634597412234</v>
      </c>
      <c r="D114" s="272">
        <v>0.42724615639201075</v>
      </c>
      <c r="E114" s="273">
        <v>76.381425799319373</v>
      </c>
      <c r="F114" s="274" t="s">
        <v>134</v>
      </c>
      <c r="G114" s="16"/>
      <c r="H114" s="16"/>
      <c r="I114" s="16"/>
      <c r="J114" s="16"/>
      <c r="K114" s="16"/>
      <c r="L114" s="16"/>
      <c r="M114" s="16"/>
      <c r="N114" s="16"/>
      <c r="O114" s="16"/>
      <c r="P114" s="16"/>
      <c r="Q114" s="18"/>
      <c r="R114" s="106"/>
      <c r="S114" s="271" t="s">
        <v>133</v>
      </c>
      <c r="T114" s="272">
        <v>0.1920945080839272</v>
      </c>
      <c r="U114" s="272">
        <v>0.10530943631207142</v>
      </c>
      <c r="V114" s="272">
        <v>114.86713275242029</v>
      </c>
      <c r="W114" s="281" t="s">
        <v>134</v>
      </c>
      <c r="X114" s="125"/>
      <c r="Y114" s="125"/>
      <c r="Z114" s="125"/>
      <c r="AA114" s="125"/>
      <c r="AB114" s="116"/>
      <c r="AC114" s="117" t="s">
        <v>185</v>
      </c>
      <c r="AD114" s="92">
        <f t="shared" si="123"/>
        <v>1.1554494665498527</v>
      </c>
      <c r="AE114" s="92">
        <f t="shared" si="123"/>
        <v>1.1554494665498527</v>
      </c>
      <c r="AF114" s="92">
        <f t="shared" si="123"/>
        <v>0.78357956918915894</v>
      </c>
      <c r="AG114" s="93">
        <f t="shared" si="123"/>
        <v>0.78357956918915894</v>
      </c>
      <c r="AH114" s="18"/>
      <c r="AI114" s="113"/>
      <c r="AJ114" s="34"/>
      <c r="AK114" s="34"/>
      <c r="AL114" s="18"/>
    </row>
    <row r="115" spans="1:38" s="1" customFormat="1" x14ac:dyDescent="0.2">
      <c r="A115" s="396"/>
      <c r="B115" s="275"/>
      <c r="C115" s="276">
        <v>0.58422364175027242</v>
      </c>
      <c r="D115" s="276">
        <v>8.2580250622914466</v>
      </c>
      <c r="E115" s="277" t="e">
        <v>#N/A</v>
      </c>
      <c r="F115" s="278">
        <f>SQRT(D115^2/F109+(O44-D105)^2*D114^2 +(P44-E105)^2*C114^2-2*CORREL(D85:D104,E85:E104)*(O44-D105)*D114 *(P44-E105)*C114)</f>
        <v>1.8657226119363866</v>
      </c>
      <c r="G115" s="16"/>
      <c r="H115" s="16"/>
      <c r="I115" s="16"/>
      <c r="J115" s="16"/>
      <c r="K115" s="54"/>
      <c r="L115" s="127"/>
      <c r="M115" s="127"/>
      <c r="N115" s="127"/>
      <c r="O115" s="127"/>
      <c r="P115" s="127"/>
      <c r="Q115" s="18"/>
      <c r="R115" s="106"/>
      <c r="S115" s="275"/>
      <c r="T115" s="276">
        <v>0.58850968757339572</v>
      </c>
      <c r="U115" s="276">
        <v>2.0326857197585824</v>
      </c>
      <c r="V115" s="276" t="e">
        <v>#N/A</v>
      </c>
      <c r="W115" s="282">
        <f>SQRT(U115^2/W109+(AF44-U105)^2*U114^2 +(AG44-V105)^2*T114^2-2*CORREL(U85:U104,V85:V104)*(AF44-U105)*U114 *(AG44-V105)*T114)</f>
        <v>0.45943688433812241</v>
      </c>
      <c r="X115" s="16"/>
      <c r="Y115" s="16"/>
      <c r="Z115" s="16"/>
      <c r="AA115" s="16"/>
      <c r="AB115" s="18"/>
      <c r="AC115" s="127"/>
      <c r="AD115" s="127"/>
      <c r="AE115" s="127"/>
      <c r="AF115" s="127"/>
      <c r="AG115" s="127"/>
      <c r="AH115" s="18"/>
      <c r="AI115" s="113"/>
      <c r="AJ115" s="34"/>
      <c r="AK115" s="34"/>
      <c r="AL115" s="18"/>
    </row>
    <row r="116" spans="1:38" s="1" customFormat="1" x14ac:dyDescent="0.2">
      <c r="A116" s="123"/>
      <c r="B116" s="123"/>
      <c r="C116" s="126"/>
      <c r="D116" s="126"/>
      <c r="E116" s="126"/>
      <c r="F116" s="146"/>
      <c r="G116" s="16"/>
      <c r="H116" s="16"/>
      <c r="I116" s="16"/>
      <c r="J116" s="16"/>
      <c r="K116" s="54"/>
      <c r="L116" s="127"/>
      <c r="M116" s="127"/>
      <c r="N116" s="127"/>
      <c r="O116" s="127"/>
      <c r="P116" s="127"/>
      <c r="Q116" s="18"/>
      <c r="R116" s="18"/>
      <c r="S116" s="123"/>
      <c r="T116" s="126"/>
      <c r="U116" s="126"/>
      <c r="V116" s="126"/>
      <c r="W116" s="146"/>
      <c r="X116" s="16"/>
      <c r="Y116" s="16"/>
      <c r="Z116" s="16"/>
      <c r="AA116" s="16"/>
      <c r="AB116" s="18"/>
      <c r="AC116" s="127"/>
      <c r="AD116" s="127"/>
      <c r="AE116" s="127"/>
      <c r="AF116" s="127"/>
      <c r="AG116" s="127"/>
      <c r="AH116" s="18"/>
      <c r="AI116" s="113"/>
      <c r="AJ116" s="34"/>
      <c r="AK116" s="34"/>
      <c r="AL116" s="18"/>
    </row>
    <row r="117" spans="1:38" s="1" customFormat="1" ht="27.2" customHeight="1" x14ac:dyDescent="0.2">
      <c r="A117" s="18"/>
      <c r="B117" s="148"/>
      <c r="C117" s="340" t="s">
        <v>162</v>
      </c>
      <c r="D117" s="341" t="str">
        <f>D51</f>
        <v>X1</v>
      </c>
      <c r="E117" s="342" t="str">
        <f t="shared" ref="E117:J117" si="124">E51</f>
        <v>X2</v>
      </c>
      <c r="F117" s="342" t="str">
        <f t="shared" si="124"/>
        <v>Pre1</v>
      </c>
      <c r="G117" s="342" t="str">
        <f t="shared" ref="G117:I117" si="125">G51</f>
        <v>Pre2</v>
      </c>
      <c r="H117" s="342" t="str">
        <f t="shared" si="125"/>
        <v>Post1</v>
      </c>
      <c r="I117" s="342" t="str">
        <f t="shared" si="125"/>
        <v>Post2</v>
      </c>
      <c r="J117" s="342" t="str">
        <f t="shared" si="124"/>
        <v>Post3</v>
      </c>
      <c r="K117" s="309"/>
      <c r="L117" s="18"/>
      <c r="M117" s="16"/>
      <c r="N117" s="16"/>
      <c r="O117" s="16"/>
      <c r="P117" s="16"/>
      <c r="Q117" s="18"/>
      <c r="R117" s="18"/>
      <c r="S117" s="367"/>
      <c r="T117" s="368" t="s">
        <v>162</v>
      </c>
      <c r="U117" s="247" t="str">
        <f>U51</f>
        <v>X1</v>
      </c>
      <c r="V117" s="149" t="str">
        <f t="shared" ref="V117:AA117" si="126">V51</f>
        <v>X2</v>
      </c>
      <c r="W117" s="149" t="str">
        <f t="shared" si="126"/>
        <v>Pre1</v>
      </c>
      <c r="X117" s="149" t="str">
        <f t="shared" ref="X117:Z117" si="127">X51</f>
        <v>Pre2</v>
      </c>
      <c r="Y117" s="149" t="str">
        <f t="shared" si="127"/>
        <v>Post1</v>
      </c>
      <c r="Z117" s="149" t="str">
        <f t="shared" si="127"/>
        <v>Post2</v>
      </c>
      <c r="AA117" s="149" t="str">
        <f t="shared" si="126"/>
        <v>Post3</v>
      </c>
      <c r="AB117" s="107"/>
      <c r="AC117" s="129"/>
      <c r="AD117" s="18"/>
      <c r="AE117" s="125"/>
      <c r="AF117" s="125"/>
      <c r="AG117" s="125"/>
      <c r="AH117" s="18"/>
      <c r="AI117" s="18"/>
      <c r="AJ117" s="18"/>
      <c r="AK117" s="18"/>
      <c r="AL117" s="18"/>
    </row>
    <row r="118" spans="1:38" s="1" customFormat="1" x14ac:dyDescent="0.2">
      <c r="A118" s="18"/>
      <c r="B118" s="394"/>
      <c r="C118" s="39" t="s">
        <v>2</v>
      </c>
      <c r="D118" s="343">
        <f>(D72*D76+D105*D109)/(D76+D109)</f>
        <v>9.5474999999999994</v>
      </c>
      <c r="E118" s="89">
        <f>(E72*E76+E105*E109)/(E76+E109)</f>
        <v>400.46000000000004</v>
      </c>
      <c r="F118" s="89">
        <f t="shared" ref="F118:J118" si="128">(F72*F76+F105*F109)/(F76+F109)</f>
        <v>400.13749999999993</v>
      </c>
      <c r="G118" s="89">
        <f t="shared" si="128"/>
        <v>400.78249999999997</v>
      </c>
      <c r="H118" s="89">
        <f t="shared" si="128"/>
        <v>406.55999999999995</v>
      </c>
      <c r="I118" s="89">
        <f t="shared" si="128"/>
        <v>402.47500000000002</v>
      </c>
      <c r="J118" s="90">
        <f t="shared" si="128"/>
        <v>403.23500000000001</v>
      </c>
      <c r="K118" s="123"/>
      <c r="L118" s="17"/>
      <c r="M118" s="130"/>
      <c r="N118" s="130"/>
      <c r="O118" s="130"/>
      <c r="P118" s="130"/>
      <c r="Q118" s="18"/>
      <c r="R118" s="18"/>
      <c r="S118" s="300"/>
      <c r="T118" s="385" t="s">
        <v>2</v>
      </c>
      <c r="U118" s="343">
        <f>(U72*U76+U105*U109)/(U76+U109)</f>
        <v>9.5474999999999994</v>
      </c>
      <c r="V118" s="89">
        <f>(V72*V76+V105*V109)/(V76+V109)</f>
        <v>599.22938398611871</v>
      </c>
      <c r="W118" s="150">
        <f t="shared" ref="W118:AA118" si="129">AVERAGE(W72,W105)</f>
        <v>599.14266203735997</v>
      </c>
      <c r="X118" s="150">
        <f t="shared" si="129"/>
        <v>599.31610593487744</v>
      </c>
      <c r="Y118" s="150">
        <f t="shared" si="129"/>
        <v>600.73295879167858</v>
      </c>
      <c r="Z118" s="150">
        <f t="shared" si="129"/>
        <v>599.73523822988852</v>
      </c>
      <c r="AA118" s="382">
        <f t="shared" si="129"/>
        <v>599.9209113331442</v>
      </c>
      <c r="AB118" s="107"/>
      <c r="AC118" s="17"/>
      <c r="AD118" s="131"/>
      <c r="AE118" s="131"/>
      <c r="AF118" s="131"/>
      <c r="AG118" s="131"/>
      <c r="AH118" s="18"/>
      <c r="AI118" s="18"/>
      <c r="AJ118" s="18"/>
      <c r="AK118" s="18"/>
      <c r="AL118" s="18"/>
    </row>
    <row r="119" spans="1:38" s="1" customFormat="1" x14ac:dyDescent="0.2">
      <c r="A119" s="18"/>
      <c r="B119" s="107"/>
      <c r="C119" s="39" t="s">
        <v>3</v>
      </c>
      <c r="D119" s="344">
        <f>SQRT((D73^2*D75+D106^2*D108)/(D75+D108))</f>
        <v>3.8948599731603073</v>
      </c>
      <c r="E119" s="100">
        <f>SQRT((E73^2*E75+E106^2*E108)/(E75+E108))</f>
        <v>9.4525616132682089</v>
      </c>
      <c r="F119" s="100">
        <f t="shared" ref="F119:J119" si="130">SQRT((F73^2*F75+F106^2*F108)/(F75+F108))</f>
        <v>11.415895543172756</v>
      </c>
      <c r="G119" s="100">
        <f t="shared" si="130"/>
        <v>8.9705739709575489</v>
      </c>
      <c r="H119" s="100">
        <f t="shared" si="130"/>
        <v>11.581041676627779</v>
      </c>
      <c r="I119" s="100">
        <f t="shared" si="130"/>
        <v>9.7783043950423849</v>
      </c>
      <c r="J119" s="140">
        <f t="shared" si="130"/>
        <v>10.281294972705991</v>
      </c>
      <c r="K119" s="454"/>
      <c r="L119" s="127" t="s">
        <v>137</v>
      </c>
      <c r="M119" s="128" t="str">
        <f>"Value of "&amp;D51</f>
        <v>Value of X1</v>
      </c>
      <c r="N119" s="128" t="str">
        <f>"Value of "&amp;E51</f>
        <v>Value of X2</v>
      </c>
      <c r="O119" s="128" t="str">
        <f>"Value of "&amp;D51</f>
        <v>Value of X1</v>
      </c>
      <c r="P119" s="128" t="str">
        <f>"Value of "&amp;E51</f>
        <v>Value of X2</v>
      </c>
      <c r="Q119" s="18"/>
      <c r="R119" s="18"/>
      <c r="S119" s="107"/>
      <c r="T119" s="386" t="s">
        <v>3</v>
      </c>
      <c r="U119" s="383">
        <f>SQRT((U73^2*U75+U106^2*U108)/(U75+U108))</f>
        <v>3.8948599731603073</v>
      </c>
      <c r="V119" s="153">
        <f>SQRT((V73^2*V75+V106^2*V108)/(V75+V108))</f>
        <v>2.3388481955234774</v>
      </c>
      <c r="W119" s="50">
        <f t="shared" ref="W119:AA119" si="131">SQRT((W73^2*W75+W106^2*W108)/(W75+W108))</f>
        <v>2.8252038340739238</v>
      </c>
      <c r="X119" s="50">
        <f t="shared" si="131"/>
        <v>2.2209536804655663</v>
      </c>
      <c r="Y119" s="50">
        <f t="shared" si="131"/>
        <v>2.8440542732631107</v>
      </c>
      <c r="Z119" s="50">
        <f t="shared" si="131"/>
        <v>2.4165870850445734</v>
      </c>
      <c r="AA119" s="384">
        <f t="shared" si="131"/>
        <v>2.5488744226387148</v>
      </c>
      <c r="AB119" s="107"/>
      <c r="AC119" s="127" t="s">
        <v>137</v>
      </c>
      <c r="AD119" s="128" t="str">
        <f>"Value of "&amp;U51</f>
        <v>Value of X1</v>
      </c>
      <c r="AE119" s="128" t="str">
        <f>"Value of "&amp;V51</f>
        <v>Value of X2</v>
      </c>
      <c r="AF119" s="128" t="str">
        <f>"Value of "&amp;U51</f>
        <v>Value of X1</v>
      </c>
      <c r="AG119" s="128" t="str">
        <f>"Value of "&amp;V51</f>
        <v>Value of X2</v>
      </c>
      <c r="AH119" s="18"/>
      <c r="AI119" s="18"/>
      <c r="AJ119" s="18"/>
      <c r="AK119" s="18"/>
      <c r="AL119" s="18"/>
    </row>
    <row r="120" spans="1:38" s="1" customFormat="1" x14ac:dyDescent="0.2">
      <c r="A120" s="18"/>
      <c r="B120" s="388"/>
      <c r="C120" s="117" t="s">
        <v>79</v>
      </c>
      <c r="D120" s="345">
        <f t="shared" ref="D120:E120" si="132">(D73^2+D106^2)^2/(D73^4/D75+D106^4/D108)</f>
        <v>34.13571093093212</v>
      </c>
      <c r="E120" s="147">
        <f t="shared" si="132"/>
        <v>37.511983260289654</v>
      </c>
      <c r="F120" s="147">
        <f>(F73^2+F106^2)^2/(F73^4/F75+F106^4/F108)</f>
        <v>35.969571682653239</v>
      </c>
      <c r="G120" s="147">
        <f>(G73^2+G106^2)^2/(G73^4/G75+G106^4/G108)</f>
        <v>37.720329141681297</v>
      </c>
      <c r="H120" s="147">
        <f t="shared" ref="H120:J120" si="133">(H73^2+H106^2)^2/(H73^4/H75+H106^4/H108)</f>
        <v>35.90132033756187</v>
      </c>
      <c r="I120" s="147">
        <f t="shared" si="133"/>
        <v>35.130585165331105</v>
      </c>
      <c r="J120" s="456">
        <f t="shared" si="133"/>
        <v>37.582314082076508</v>
      </c>
      <c r="K120" s="455"/>
      <c r="L120" s="133" t="s">
        <v>75</v>
      </c>
      <c r="M120" s="128">
        <f>IF(ISNUMBER(M44),MAX(M52:M71,M85:M104),AVERAGE(M52:M71,M85:M104))</f>
        <v>6.0999999999999961</v>
      </c>
      <c r="N120" s="128">
        <f>IF(ISNUMBER(N44),MAX(N52:N71,N85:N104),AVERAGE(N52:N71,N85:N104))</f>
        <v>6.0999999999999961</v>
      </c>
      <c r="O120" s="128">
        <f>MAX(O52:O71,O85:O104)</f>
        <v>31.527779468940363</v>
      </c>
      <c r="P120" s="128">
        <f>MAX(P52:P71,P85:P104)</f>
        <v>21.369991401024748</v>
      </c>
      <c r="Q120" s="18"/>
      <c r="R120" s="18"/>
      <c r="S120" s="107"/>
      <c r="T120" s="117" t="s">
        <v>79</v>
      </c>
      <c r="U120" s="345">
        <f t="shared" ref="U120:V120" si="134">(U73^2+U106^2)^2/(U73^4/U75+U106^4/U108)</f>
        <v>34.13571093093212</v>
      </c>
      <c r="V120" s="147">
        <f t="shared" si="134"/>
        <v>37.513476970022516</v>
      </c>
      <c r="W120" s="147">
        <f>(W73^2+W106^2)^2/(W73^4/W75+W106^4/W108)</f>
        <v>36.136932039798957</v>
      </c>
      <c r="X120" s="147">
        <f>(X73^2+X106^2)^2/(X73^4/X75+X106^4/X108)</f>
        <v>37.78216975512575</v>
      </c>
      <c r="Y120" s="147">
        <f t="shared" ref="Y120:AA120" si="135">(Y73^2+Y106^2)^2/(Y73^4/Y75+Y106^4/Y108)</f>
        <v>36.305314567994238</v>
      </c>
      <c r="Z120" s="147">
        <f t="shared" si="135"/>
        <v>35.343193989228851</v>
      </c>
      <c r="AA120" s="456">
        <f t="shared" si="135"/>
        <v>37.557071069812586</v>
      </c>
      <c r="AB120" s="107"/>
      <c r="AC120" s="133" t="s">
        <v>75</v>
      </c>
      <c r="AD120" s="128">
        <f>IF(ISNUMBER(AD44),MAX(AD52:AD71,AD85:AD104),AVERAGE(AD52:AD71,AD85:AD104))</f>
        <v>1.5035748055598872</v>
      </c>
      <c r="AE120" s="128">
        <f>IF(ISNUMBER(AE44),MAX(AE52:AE71,AE85:AE104),AVERAGE(AE52:AE71,AE85:AE104))</f>
        <v>1.5035748055598872</v>
      </c>
      <c r="AF120" s="128">
        <f>MAX(AF52:AF71,AF85:AF104)</f>
        <v>7.7188170053512932</v>
      </c>
      <c r="AG120" s="128">
        <f>MAX(AG52:AG71,AG85:AG104)</f>
        <v>5.271253645216075</v>
      </c>
      <c r="AH120" s="18"/>
      <c r="AI120" s="18"/>
      <c r="AJ120" s="18"/>
      <c r="AK120" s="18"/>
      <c r="AL120" s="18"/>
    </row>
    <row r="121" spans="1:38" s="1" customFormat="1" x14ac:dyDescent="0.2">
      <c r="A121" s="18"/>
      <c r="B121" s="18"/>
      <c r="C121" s="18"/>
      <c r="D121" s="18"/>
      <c r="E121" s="18"/>
      <c r="F121" s="18"/>
      <c r="G121" s="18"/>
      <c r="H121" s="18"/>
      <c r="I121" s="18"/>
      <c r="J121" s="18"/>
      <c r="K121" s="127"/>
      <c r="L121" s="133" t="s">
        <v>76</v>
      </c>
      <c r="M121" s="128">
        <f>IF(ISNUMBER(M44),MIN(M52:M71,M85:M104),AVERAGE(M52:M71,M85:M104))</f>
        <v>6.0999999999999961</v>
      </c>
      <c r="N121" s="128">
        <f>IF(ISNUMBER(N44),MIN(N52:N71,N85:N104),AVERAGE(N52:N71,N85:N104))</f>
        <v>6.0999999999999961</v>
      </c>
      <c r="O121" s="128">
        <f>MIN(O52:O71,O85:O104)</f>
        <v>-14.347794133396118</v>
      </c>
      <c r="P121" s="128">
        <f>MIN(P52:P71,P85:P104)</f>
        <v>-11.508054179543239</v>
      </c>
      <c r="Q121" s="18"/>
      <c r="R121" s="18"/>
      <c r="S121" s="107"/>
      <c r="T121" s="387" t="s">
        <v>6</v>
      </c>
      <c r="U121" s="151" t="str">
        <f>IF(U118=D118,"",EXP(U118/100))</f>
        <v/>
      </c>
      <c r="V121" s="151">
        <f>IF(V118=E118,"",EXP(V118/100))</f>
        <v>400.33185468460573</v>
      </c>
      <c r="W121" s="151">
        <f>EXP(W118/100)</f>
        <v>399.98482959393073</v>
      </c>
      <c r="X121" s="151">
        <f>EXP(X118/100)</f>
        <v>400.67918085273328</v>
      </c>
      <c r="Y121" s="151">
        <f>EXP(Y118/100)</f>
        <v>406.39662350160813</v>
      </c>
      <c r="Z121" s="151">
        <f>EXP(Z118/100)</f>
        <v>402.36208102447796</v>
      </c>
      <c r="AA121" s="136">
        <f>EXP(AA118/100)</f>
        <v>403.10985317769587</v>
      </c>
      <c r="AB121" s="107"/>
      <c r="AC121" s="133" t="s">
        <v>76</v>
      </c>
      <c r="AD121" s="128">
        <f>IF(ISNUMBER(AD44),MIN(AD52:AD71,AD85:AD104),AVERAGE(AD52:AD71,AD85:AD104))</f>
        <v>1.5035748055598872</v>
      </c>
      <c r="AE121" s="128">
        <f>IF(ISNUMBER(AE44),MIN(AE52:AE71,AE85:AE104),AVERAGE(AE52:AE71,AE85:AE104))</f>
        <v>1.5035748055598872</v>
      </c>
      <c r="AF121" s="128">
        <f>MIN(AF52:AF71,AF85:AF104)</f>
        <v>-3.6389442679578949</v>
      </c>
      <c r="AG121" s="128">
        <f>MIN(AG52:AG71,AG85:AG104)</f>
        <v>-2.98319704327406</v>
      </c>
      <c r="AH121" s="18"/>
      <c r="AI121" s="18"/>
      <c r="AJ121" s="18"/>
      <c r="AK121" s="18"/>
      <c r="AL121" s="18"/>
    </row>
    <row r="122" spans="1:38" s="1" customFormat="1" x14ac:dyDescent="0.2">
      <c r="A122" s="18"/>
      <c r="B122" s="18"/>
      <c r="C122" s="18"/>
      <c r="D122" s="18"/>
      <c r="E122" s="18"/>
      <c r="F122" s="18"/>
      <c r="G122" s="18"/>
      <c r="H122" s="18"/>
      <c r="I122" s="18"/>
      <c r="J122" s="18"/>
      <c r="K122" s="18"/>
      <c r="L122" s="133" t="s">
        <v>136</v>
      </c>
      <c r="M122" s="127">
        <f>IF(ISBLANK(M44),M45,M44)</f>
        <v>9.5474999999999994</v>
      </c>
      <c r="N122" s="127">
        <f>IF(ISBLANK(N44),N45,N44)</f>
        <v>400.46000000000004</v>
      </c>
      <c r="O122" s="127">
        <f>IF(ISBLANK(O44),1/0,O44)</f>
        <v>9.5474999999999994</v>
      </c>
      <c r="P122" s="127">
        <f>IF(ISBLANK(P44),1/0,P44)</f>
        <v>400.46000000000004</v>
      </c>
      <c r="Q122" s="18"/>
      <c r="R122" s="18"/>
      <c r="S122" s="107"/>
      <c r="T122" s="387" t="s">
        <v>7</v>
      </c>
      <c r="U122" s="151" t="str">
        <f>IF(U118=D118,"",100*EXP(U119/100)-100)</f>
        <v/>
      </c>
      <c r="V122" s="151">
        <f>IF(V118=E118,"",100*EXP(V119/100)-100)</f>
        <v>2.3664137358014159</v>
      </c>
      <c r="W122" s="151">
        <f>100*EXP(W119/100)-100</f>
        <v>2.8654912229651046</v>
      </c>
      <c r="X122" s="151">
        <f>100*EXP(X119/100)-100</f>
        <v>2.2458004609333244</v>
      </c>
      <c r="Y122" s="151">
        <f>100*EXP(Y119/100)-100</f>
        <v>2.8848836475559239</v>
      </c>
      <c r="Z122" s="151">
        <f>100*EXP(Z119/100)-100</f>
        <v>2.4460231888253361</v>
      </c>
      <c r="AA122" s="136">
        <f>100*EXP(AA119/100)-100</f>
        <v>2.5816359848747936</v>
      </c>
      <c r="AB122" s="107"/>
      <c r="AC122" s="133" t="s">
        <v>136</v>
      </c>
      <c r="AD122" s="127">
        <f>IF(ISBLANK(AD44),AD45,AD44)</f>
        <v>9.5474999999999994</v>
      </c>
      <c r="AE122" s="127">
        <f>IF(ISBLANK(AE44),AE45,AE44)</f>
        <v>599.22938398611871</v>
      </c>
      <c r="AF122" s="127">
        <f>IF(ISBLANK(AF44),1/0,AF44)</f>
        <v>9.5474999999999994</v>
      </c>
      <c r="AG122" s="127">
        <f>IF(ISBLANK(AG44),1/0,AG44)</f>
        <v>599.22938398611871</v>
      </c>
      <c r="AH122" s="18"/>
      <c r="AI122" s="18"/>
      <c r="AJ122" s="18"/>
      <c r="AK122" s="18"/>
      <c r="AL122" s="18"/>
    </row>
    <row r="123" spans="1:38" s="1" customFormat="1" x14ac:dyDescent="0.2">
      <c r="A123" s="18"/>
      <c r="B123" s="18"/>
      <c r="C123" s="18"/>
      <c r="D123" s="18"/>
      <c r="E123" s="18"/>
      <c r="F123" s="18"/>
      <c r="G123" s="18"/>
      <c r="H123" s="18"/>
      <c r="I123" s="38" t="s">
        <v>227</v>
      </c>
      <c r="J123" s="18"/>
      <c r="K123" s="133"/>
      <c r="L123" s="18"/>
      <c r="M123" s="127">
        <f>M122</f>
        <v>9.5474999999999994</v>
      </c>
      <c r="N123" s="127">
        <f>N122</f>
        <v>400.46000000000004</v>
      </c>
      <c r="O123" s="127">
        <f>O122</f>
        <v>9.5474999999999994</v>
      </c>
      <c r="P123" s="127">
        <f>P122</f>
        <v>400.46000000000004</v>
      </c>
      <c r="Q123" s="18"/>
      <c r="R123" s="18"/>
      <c r="S123" s="388"/>
      <c r="T123" s="389" t="s">
        <v>8</v>
      </c>
      <c r="U123" s="92" t="str">
        <f>IF(U118=D118,"",EXP(U119/100))</f>
        <v/>
      </c>
      <c r="V123" s="92">
        <f>IF(V118=E118,"",EXP(V119/100))</f>
        <v>1.0236641373580142</v>
      </c>
      <c r="W123" s="92">
        <f>EXP(W119/100)</f>
        <v>1.0286549122296511</v>
      </c>
      <c r="X123" s="92">
        <f>EXP(X119/100)</f>
        <v>1.0224580046093332</v>
      </c>
      <c r="Y123" s="92">
        <f>EXP(Y119/100)</f>
        <v>1.0288488364755592</v>
      </c>
      <c r="Z123" s="92">
        <f>EXP(Z119/100)</f>
        <v>1.0244602318882534</v>
      </c>
      <c r="AA123" s="93">
        <f>EXP(AA119/100)</f>
        <v>1.025816359848748</v>
      </c>
      <c r="AB123" s="347"/>
      <c r="AC123" s="18"/>
      <c r="AD123" s="127">
        <f>AD122</f>
        <v>9.5474999999999994</v>
      </c>
      <c r="AE123" s="127">
        <f>AE122</f>
        <v>599.22938398611871</v>
      </c>
      <c r="AF123" s="127">
        <f>AF122</f>
        <v>9.5474999999999994</v>
      </c>
      <c r="AG123" s="127">
        <f>AG122</f>
        <v>599.22938398611871</v>
      </c>
      <c r="AH123" s="18"/>
      <c r="AI123" s="18"/>
      <c r="AJ123" s="18"/>
      <c r="AK123" s="18"/>
      <c r="AL123" s="18"/>
    </row>
    <row r="124" spans="1:38" s="1" customFormat="1" x14ac:dyDescent="0.2">
      <c r="A124" s="18"/>
      <c r="B124" s="18"/>
      <c r="C124" s="18"/>
      <c r="D124" s="18"/>
      <c r="E124" s="18"/>
      <c r="F124" s="18"/>
      <c r="G124" s="18"/>
      <c r="H124" s="18"/>
      <c r="I124" s="18"/>
      <c r="J124" s="18"/>
      <c r="K124" s="133"/>
      <c r="L124" s="18"/>
      <c r="M124" s="127"/>
      <c r="N124" s="127"/>
      <c r="O124" s="127"/>
      <c r="P124" s="127"/>
      <c r="Q124" s="18"/>
      <c r="R124" s="18"/>
      <c r="S124" s="18"/>
      <c r="T124" s="18"/>
      <c r="U124" s="18"/>
      <c r="V124" s="18"/>
      <c r="W124" s="18"/>
      <c r="X124" s="18"/>
      <c r="Y124" s="18"/>
      <c r="Z124" s="18"/>
      <c r="AA124" s="18"/>
      <c r="AB124" s="133"/>
      <c r="AC124" s="127"/>
      <c r="AD124" s="127"/>
      <c r="AE124" s="127"/>
      <c r="AF124" s="127"/>
      <c r="AG124" s="127"/>
      <c r="AH124" s="18"/>
      <c r="AI124" s="18"/>
      <c r="AJ124" s="18"/>
      <c r="AK124" s="18"/>
      <c r="AL124" s="18"/>
    </row>
    <row r="125" spans="1:38" s="1" customFormat="1" ht="33" customHeight="1" x14ac:dyDescent="0.2">
      <c r="A125" s="18"/>
      <c r="B125" s="595" t="s">
        <v>218</v>
      </c>
      <c r="C125" s="596"/>
      <c r="D125" s="596"/>
      <c r="E125" s="596"/>
      <c r="F125" s="341" t="str">
        <f>F51</f>
        <v>Pre1</v>
      </c>
      <c r="G125" s="342" t="str">
        <f>G51</f>
        <v>Pre2</v>
      </c>
      <c r="H125" s="342" t="str">
        <f>H51</f>
        <v>Post1</v>
      </c>
      <c r="I125" s="342" t="str">
        <f>I51</f>
        <v>Post2</v>
      </c>
      <c r="J125" s="366" t="str">
        <f>J51</f>
        <v>Post3</v>
      </c>
      <c r="K125" s="365"/>
      <c r="L125" s="18"/>
      <c r="M125" s="127"/>
      <c r="N125" s="127"/>
      <c r="O125" s="127"/>
      <c r="P125" s="127"/>
      <c r="Q125" s="18"/>
      <c r="R125" s="18"/>
      <c r="S125" s="595" t="s">
        <v>218</v>
      </c>
      <c r="T125" s="596"/>
      <c r="U125" s="596"/>
      <c r="V125" s="596"/>
      <c r="W125" s="247" t="str">
        <f>W51</f>
        <v>Pre1</v>
      </c>
      <c r="X125" s="149" t="str">
        <f>X51</f>
        <v>Pre2</v>
      </c>
      <c r="Y125" s="149" t="str">
        <f>Y51</f>
        <v>Post1</v>
      </c>
      <c r="Z125" s="149" t="str">
        <f>Z51</f>
        <v>Post2</v>
      </c>
      <c r="AA125" s="149" t="str">
        <f>AA51</f>
        <v>Post3</v>
      </c>
      <c r="AB125" s="347"/>
      <c r="AC125" s="127" t="s">
        <v>256</v>
      </c>
      <c r="AD125" s="127"/>
      <c r="AE125" s="127"/>
      <c r="AF125" s="127"/>
      <c r="AG125" s="127"/>
      <c r="AH125" s="38"/>
      <c r="AI125" s="113"/>
      <c r="AJ125" s="34"/>
      <c r="AK125" s="34"/>
      <c r="AL125" s="18"/>
    </row>
    <row r="126" spans="1:38" s="1" customFormat="1" ht="15" x14ac:dyDescent="0.2">
      <c r="A126" s="18"/>
      <c r="B126" s="390"/>
      <c r="C126" s="391"/>
      <c r="D126" s="391"/>
      <c r="E126" s="451" t="s">
        <v>219</v>
      </c>
      <c r="F126" s="354">
        <f>IF(SUM($F127:$J127)&gt;0,F127,IF(F50&lt;0,1,IF(SUM($F$50:$J$50)=1,IF(F50&gt;0,1,0),0)))</f>
        <v>1</v>
      </c>
      <c r="G126" s="354">
        <f t="shared" ref="G126:J126" si="136">IF(SUM($F127:$J127)&gt;0,G127,IF(G50&lt;0,1,IF(SUM($F$50:$J$50)=1,IF(G50&gt;0,1,0),0)))</f>
        <v>1</v>
      </c>
      <c r="H126" s="354">
        <f t="shared" si="136"/>
        <v>0</v>
      </c>
      <c r="I126" s="354">
        <f t="shared" si="136"/>
        <v>0</v>
      </c>
      <c r="J126" s="354">
        <f t="shared" si="136"/>
        <v>0</v>
      </c>
      <c r="K126" s="309"/>
      <c r="L126" s="115"/>
      <c r="M126" s="134"/>
      <c r="N126" s="16"/>
      <c r="O126" s="16"/>
      <c r="P126" s="16"/>
      <c r="Q126" s="18"/>
      <c r="R126" s="18"/>
      <c r="S126" s="390"/>
      <c r="T126" s="391"/>
      <c r="U126" s="391"/>
      <c r="V126" s="451" t="s">
        <v>219</v>
      </c>
      <c r="W126" s="354">
        <f>F126</f>
        <v>1</v>
      </c>
      <c r="X126" s="354">
        <f>G126</f>
        <v>1</v>
      </c>
      <c r="Y126" s="354">
        <f>H126</f>
        <v>0</v>
      </c>
      <c r="Z126" s="354">
        <f>I126</f>
        <v>0</v>
      </c>
      <c r="AA126" s="355">
        <f>J126</f>
        <v>0</v>
      </c>
      <c r="AB126" s="347"/>
      <c r="AC126" s="133" t="s">
        <v>75</v>
      </c>
      <c r="AD126" s="128">
        <f>EXP(AD120/100)</f>
        <v>1.0151493535826182</v>
      </c>
      <c r="AE126" s="128">
        <f t="shared" ref="AE126:AG127" si="137">EXP(AE120/100)</f>
        <v>1.0151493535826182</v>
      </c>
      <c r="AF126" s="128">
        <f t="shared" si="137"/>
        <v>1.0802453270901589</v>
      </c>
      <c r="AG126" s="128">
        <f t="shared" si="137"/>
        <v>1.0541265785949991</v>
      </c>
      <c r="AH126" s="38"/>
      <c r="AI126" s="113"/>
      <c r="AJ126" s="34"/>
      <c r="AK126" s="34"/>
      <c r="AL126" s="18"/>
    </row>
    <row r="127" spans="1:38" s="1" customFormat="1" ht="14.25" x14ac:dyDescent="0.2">
      <c r="A127" s="18"/>
      <c r="B127" s="107"/>
      <c r="C127" s="34"/>
      <c r="D127" s="34"/>
      <c r="E127" s="452" t="s">
        <v>220</v>
      </c>
      <c r="F127" s="351"/>
      <c r="G127" s="351"/>
      <c r="H127" s="351"/>
      <c r="I127" s="351"/>
      <c r="J127" s="351"/>
      <c r="K127" s="309"/>
      <c r="L127" s="115"/>
      <c r="M127" s="134"/>
      <c r="N127" s="16"/>
      <c r="O127" s="16"/>
      <c r="P127" s="16"/>
      <c r="Q127" s="38" t="s">
        <v>236</v>
      </c>
      <c r="R127" s="18"/>
      <c r="S127" s="107"/>
      <c r="T127" s="34"/>
      <c r="U127" s="34"/>
      <c r="V127" s="452" t="s">
        <v>220</v>
      </c>
      <c r="W127" s="352">
        <f>F127</f>
        <v>0</v>
      </c>
      <c r="X127" s="352">
        <f t="shared" ref="X127:AA127" si="138">G127</f>
        <v>0</v>
      </c>
      <c r="Y127" s="352">
        <f t="shared" si="138"/>
        <v>0</v>
      </c>
      <c r="Z127" s="352">
        <f t="shared" si="138"/>
        <v>0</v>
      </c>
      <c r="AA127" s="352">
        <f t="shared" si="138"/>
        <v>0</v>
      </c>
      <c r="AB127" s="347"/>
      <c r="AC127" s="133" t="s">
        <v>76</v>
      </c>
      <c r="AD127" s="128">
        <f>EXP(AD121/100)</f>
        <v>1.0151493535826182</v>
      </c>
      <c r="AE127" s="128">
        <f t="shared" si="137"/>
        <v>1.0151493535826182</v>
      </c>
      <c r="AF127" s="128">
        <f t="shared" si="137"/>
        <v>0.96426469452427876</v>
      </c>
      <c r="AG127" s="128">
        <f t="shared" si="137"/>
        <v>0.97060861079207483</v>
      </c>
      <c r="AH127" s="38" t="s">
        <v>261</v>
      </c>
      <c r="AI127" s="113"/>
      <c r="AJ127" s="34"/>
      <c r="AK127" s="34"/>
      <c r="AL127" s="18"/>
    </row>
    <row r="128" spans="1:38" s="1" customFormat="1" x14ac:dyDescent="0.2">
      <c r="A128" s="18"/>
      <c r="B128" s="107"/>
      <c r="C128" s="34"/>
      <c r="D128" s="34"/>
      <c r="E128" s="387" t="s">
        <v>178</v>
      </c>
      <c r="F128" s="324">
        <f>IF(OR(ISERROR(F119),ISBLANK(F126),F126=0),"",F119)</f>
        <v>11.415895543172756</v>
      </c>
      <c r="G128" s="346">
        <f>IF(OR(ISERROR(G119),ISBLANK(G126),G126=0),"",G119)</f>
        <v>8.9705739709575489</v>
      </c>
      <c r="H128" s="346" t="str">
        <f>IF(OR(ISERROR(H119),ISBLANK(H126),H126=0),"",H119)</f>
        <v/>
      </c>
      <c r="I128" s="346" t="str">
        <f>IF(OR(ISERROR(I119),ISBLANK(I126),I126=0),"",I119)</f>
        <v/>
      </c>
      <c r="J128" s="346" t="str">
        <f>IF(OR(ISERROR(J119),ISBLANK(J126),J126=0),"",J119)</f>
        <v/>
      </c>
      <c r="K128" s="309"/>
      <c r="L128" s="115"/>
      <c r="M128" s="134"/>
      <c r="N128" s="16"/>
      <c r="O128" s="16"/>
      <c r="P128" s="16"/>
      <c r="Q128" s="38" t="s">
        <v>235</v>
      </c>
      <c r="R128" s="18"/>
      <c r="S128" s="107"/>
      <c r="T128" s="34"/>
      <c r="U128" s="34"/>
      <c r="V128" s="387" t="s">
        <v>121</v>
      </c>
      <c r="W128" s="324">
        <f>IF(OR(ISERROR(W119),ISBLANK(W126),W126=0),"",W119)</f>
        <v>2.8252038340739238</v>
      </c>
      <c r="X128" s="346">
        <f>IF(OR(ISERROR(X119),ISBLANK(X126),X126=0),"",X119)</f>
        <v>2.2209536804655663</v>
      </c>
      <c r="Y128" s="346" t="str">
        <f>IF(OR(ISERROR(Y119),ISBLANK(Y126),Y126=0),"",Y119)</f>
        <v/>
      </c>
      <c r="Z128" s="346" t="str">
        <f>IF(OR(ISERROR(Z119),ISBLANK(Z126),Z126=0),"",Z119)</f>
        <v/>
      </c>
      <c r="AA128" s="346" t="str">
        <f>IF(OR(ISERROR(AA119),ISBLANK(AA126),AA126=0),"",AA119)</f>
        <v/>
      </c>
      <c r="AB128" s="347"/>
      <c r="AC128" s="115"/>
      <c r="AD128" s="134"/>
      <c r="AE128" s="127">
        <f>EXP(AE122/100)</f>
        <v>400.33185468460573</v>
      </c>
      <c r="AF128" s="134"/>
      <c r="AG128" s="127">
        <f>EXP(AG122/100)</f>
        <v>400.33185468460573</v>
      </c>
      <c r="AH128" s="38" t="s">
        <v>263</v>
      </c>
      <c r="AI128" s="113"/>
      <c r="AJ128" s="34"/>
      <c r="AK128" s="34"/>
      <c r="AL128" s="18"/>
    </row>
    <row r="129" spans="1:38" s="1" customFormat="1" x14ac:dyDescent="0.2">
      <c r="A129" s="18"/>
      <c r="B129" s="107"/>
      <c r="C129" s="34"/>
      <c r="D129" s="34"/>
      <c r="E129" s="387" t="s">
        <v>113</v>
      </c>
      <c r="F129" s="449">
        <f>SQRT(SUMPRODUCT(F128:J128,F128:J128,F126:J126)/COUNT(F128:J128))</f>
        <v>10.26630090200586</v>
      </c>
      <c r="G129" s="18"/>
      <c r="H129" s="18"/>
      <c r="I129" s="18"/>
      <c r="J129" s="18"/>
      <c r="K129" s="18"/>
      <c r="L129" s="18"/>
      <c r="M129" s="18"/>
      <c r="N129" s="18"/>
      <c r="O129" s="18"/>
      <c r="P129" s="18"/>
      <c r="Q129" s="18"/>
      <c r="R129" s="18"/>
      <c r="S129" s="107"/>
      <c r="T129" s="34"/>
      <c r="U129" s="34"/>
      <c r="V129" s="392" t="s">
        <v>215</v>
      </c>
      <c r="W129" s="518" t="str">
        <f>IF(ISNUMBER(F130),100*LN(1+F130/F132),"")</f>
        <v/>
      </c>
      <c r="X129" s="18"/>
      <c r="Y129" s="18"/>
      <c r="Z129" s="18"/>
      <c r="AA129" s="18"/>
      <c r="AB129" s="18"/>
      <c r="AC129" s="115"/>
      <c r="AD129" s="134"/>
      <c r="AE129" s="127">
        <f>EXP(AE123/100)</f>
        <v>400.33185468460573</v>
      </c>
      <c r="AF129" s="134"/>
      <c r="AG129" s="127">
        <f>EXP(AG123/100)</f>
        <v>400.33185468460573</v>
      </c>
      <c r="AH129" s="38" t="s">
        <v>262</v>
      </c>
      <c r="AI129" s="113"/>
      <c r="AJ129" s="34"/>
      <c r="AK129" s="34"/>
      <c r="AL129" s="18"/>
    </row>
    <row r="130" spans="1:38" s="1" customFormat="1" x14ac:dyDescent="0.2">
      <c r="A130" s="18"/>
      <c r="B130" s="107"/>
      <c r="C130" s="34"/>
      <c r="D130" s="34"/>
      <c r="E130" s="392" t="s">
        <v>119</v>
      </c>
      <c r="F130" s="450"/>
      <c r="G130" s="18"/>
      <c r="H130" s="18"/>
      <c r="I130" s="18"/>
      <c r="J130" s="18"/>
      <c r="K130" s="18"/>
      <c r="L130" s="18"/>
      <c r="M130" s="18"/>
      <c r="N130" s="18"/>
      <c r="O130" s="18"/>
      <c r="P130" s="18"/>
      <c r="Q130" s="18"/>
      <c r="R130" s="18"/>
      <c r="S130" s="107"/>
      <c r="T130" s="34"/>
      <c r="U130" s="34"/>
      <c r="V130" s="387" t="s">
        <v>211</v>
      </c>
      <c r="W130" s="519" t="str">
        <f>IF(ISNUMBER(F131),F131,"")</f>
        <v/>
      </c>
      <c r="X130" s="18"/>
      <c r="Y130" s="18"/>
      <c r="Z130" s="18"/>
      <c r="AA130" s="18"/>
      <c r="AB130" s="18"/>
      <c r="AC130" s="18"/>
      <c r="AD130" s="18"/>
      <c r="AE130" s="18"/>
      <c r="AF130" s="18"/>
      <c r="AG130" s="18"/>
      <c r="AH130" s="113"/>
      <c r="AI130" s="113"/>
      <c r="AJ130" s="34"/>
      <c r="AK130" s="34"/>
      <c r="AL130" s="18"/>
    </row>
    <row r="131" spans="1:38" x14ac:dyDescent="0.2">
      <c r="A131" s="18"/>
      <c r="B131" s="107"/>
      <c r="C131" s="34"/>
      <c r="D131" s="34"/>
      <c r="E131" s="395" t="s">
        <v>120</v>
      </c>
      <c r="F131" s="450"/>
      <c r="G131" s="18"/>
      <c r="H131" s="18"/>
      <c r="I131" s="18"/>
      <c r="J131" s="18"/>
      <c r="K131" s="137"/>
      <c r="L131" s="138"/>
      <c r="M131" s="139"/>
      <c r="N131" s="139"/>
      <c r="O131" s="139"/>
      <c r="P131" s="139"/>
      <c r="Q131" s="18" t="str">
        <f>"Graph of custom effect vs "&amp;E51</f>
        <v>Graph of custom effect vs X2</v>
      </c>
      <c r="R131" s="18"/>
      <c r="S131" s="107"/>
      <c r="T131" s="34"/>
      <c r="U131" s="34"/>
      <c r="V131" s="387" t="s">
        <v>213</v>
      </c>
      <c r="W131" s="136">
        <f>100*W132-100</f>
        <v>2.5736645490993482</v>
      </c>
      <c r="X131" s="18"/>
      <c r="Y131" s="18"/>
      <c r="Z131" s="18"/>
      <c r="AA131" s="18"/>
      <c r="AB131" s="18"/>
      <c r="AC131" s="18"/>
      <c r="AD131" s="18"/>
      <c r="AE131" s="18"/>
      <c r="AF131" s="18"/>
      <c r="AG131" s="18"/>
      <c r="AH131" s="546" t="str">
        <f>"Graph of custom effect vs "&amp;E51&amp;IF(ISTEXT(D51)," not adjusted for "&amp;D51,"")</f>
        <v>Graph of custom effect vs X2 not adjusted for X1</v>
      </c>
      <c r="AI131" s="546"/>
      <c r="AJ131" s="546"/>
      <c r="AK131" s="546"/>
      <c r="AL131" s="546"/>
    </row>
    <row r="132" spans="1:38" ht="13.15" customHeight="1" x14ac:dyDescent="0.2">
      <c r="A132" s="18"/>
      <c r="B132" s="107"/>
      <c r="C132" s="34"/>
      <c r="D132" s="34"/>
      <c r="E132" s="387" t="s">
        <v>212</v>
      </c>
      <c r="F132" s="450"/>
      <c r="G132" s="18"/>
      <c r="H132" s="18"/>
      <c r="I132" s="18"/>
      <c r="J132" s="18"/>
      <c r="K132" s="144"/>
      <c r="L132" s="138"/>
      <c r="M132" s="145"/>
      <c r="N132" s="145"/>
      <c r="O132" s="145"/>
      <c r="P132" s="145"/>
      <c r="Q132" s="18" t="str">
        <f>IF(ISTEXT(D51),"  not adjusted for "&amp;D51,"")</f>
        <v xml:space="preserve">  not adjusted for X1</v>
      </c>
      <c r="R132" s="18"/>
      <c r="S132" s="107"/>
      <c r="T132" s="34"/>
      <c r="U132" s="34"/>
      <c r="V132" s="387" t="s">
        <v>214</v>
      </c>
      <c r="W132" s="140">
        <f>EXP(IF(ISNUMBER(W129),W129,SQRT(SUMPRODUCT(W128:AA128,W128:AA128,W126:AA126)/COUNT(W128:AA128)))/100)</f>
        <v>1.0257366454909935</v>
      </c>
      <c r="X132" s="18"/>
      <c r="Y132" s="18"/>
      <c r="Z132" s="18"/>
      <c r="AA132" s="18"/>
      <c r="AB132" s="137"/>
      <c r="AC132" s="138"/>
      <c r="AD132" s="139"/>
      <c r="AE132" s="139"/>
      <c r="AF132" s="139"/>
      <c r="AG132" s="139"/>
      <c r="AH132" s="549" t="str">
        <f>"If "&amp;E51&amp;" is the baseline of the dependent, clear any blank values to get the graph to display properly."</f>
        <v>If X2 is the baseline of the dependent, clear any blank values to get the graph to display properly.</v>
      </c>
      <c r="AI132" s="113" t="s">
        <v>257</v>
      </c>
      <c r="AJ132" s="34"/>
      <c r="AK132" s="34"/>
      <c r="AL132" s="18"/>
    </row>
    <row r="133" spans="1:38" ht="13.15" customHeight="1" x14ac:dyDescent="0.2">
      <c r="A133" s="18"/>
      <c r="B133" s="107"/>
      <c r="C133" s="34"/>
      <c r="D133" s="34"/>
      <c r="E133" s="118" t="s">
        <v>122</v>
      </c>
      <c r="F133" s="522">
        <f>IF(ISBLANK(F130),F129/(1-3/(4*(SUMPRODUCT(F120:J120,F126:J126)/SUM(F126:J126))-1)),F130/(1-3/(4*(F131-1))))</f>
        <v>10.481107327679998</v>
      </c>
      <c r="G133" s="18"/>
      <c r="H133" s="18"/>
      <c r="I133" s="18"/>
      <c r="J133" s="18"/>
      <c r="K133" s="144"/>
      <c r="L133" s="138"/>
      <c r="M133" s="145"/>
      <c r="N133" s="145"/>
      <c r="O133" s="145"/>
      <c r="P133" s="145"/>
      <c r="Q133" s="31" t="s">
        <v>160</v>
      </c>
      <c r="R133" s="18"/>
      <c r="S133" s="107"/>
      <c r="T133" s="34"/>
      <c r="U133" s="34"/>
      <c r="V133" s="118" t="s">
        <v>122</v>
      </c>
      <c r="W133" s="524">
        <f>IF(ISNUMBER(W129),W129/(1-3/(4*(W130-1))),SQRT(SUMPRODUCT(W128:AA128,W128:AA128,W126:AA126)/COUNT(W128:AA128))/(1-3/(4*(SUMPRODUCT(W120:AA120,W126:AA126)/SUM(W126:AA126))-1)))</f>
        <v>2.5941025004799285</v>
      </c>
      <c r="X133" s="18"/>
      <c r="Y133" s="18"/>
      <c r="Z133" s="18"/>
      <c r="AA133" s="18"/>
      <c r="AB133" s="137"/>
      <c r="AC133" s="138"/>
      <c r="AD133" s="139"/>
      <c r="AE133" s="139"/>
      <c r="AF133" s="139"/>
      <c r="AG133" s="139"/>
      <c r="AH133" s="549"/>
      <c r="AI133" s="113" t="s">
        <v>259</v>
      </c>
      <c r="AJ133" s="34"/>
      <c r="AK133" s="34"/>
      <c r="AL133" s="18"/>
    </row>
    <row r="134" spans="1:38" ht="13.15" customHeight="1" x14ac:dyDescent="0.2">
      <c r="A134" s="18"/>
      <c r="B134" s="107"/>
      <c r="C134" s="34"/>
      <c r="D134" s="34"/>
      <c r="E134" s="520" t="s">
        <v>273</v>
      </c>
      <c r="F134" s="523">
        <f>IF(ISNUMBER(F130),F131-1,SUMPRODUCT(F120:J120,F126:J126)/SUM(F126:J126))</f>
        <v>36.844950412167265</v>
      </c>
      <c r="G134" s="18"/>
      <c r="H134" s="18"/>
      <c r="I134" s="18"/>
      <c r="J134" s="18"/>
      <c r="K134" s="144"/>
      <c r="L134" s="138"/>
      <c r="M134" s="145"/>
      <c r="N134" s="145"/>
      <c r="O134" s="145"/>
      <c r="P134" s="145"/>
      <c r="Q134" s="38" t="s">
        <v>161</v>
      </c>
      <c r="R134" s="18"/>
      <c r="S134" s="107"/>
      <c r="T134" s="34"/>
      <c r="U134" s="34"/>
      <c r="V134" s="520" t="s">
        <v>273</v>
      </c>
      <c r="W134" s="523">
        <f>IF(ISNUMBER(W130),W131-1,SUMPRODUCT(W120:AA120,W126:AA126)/SUM(W126:AA126))</f>
        <v>36.95955089746235</v>
      </c>
      <c r="X134" s="18"/>
      <c r="Y134" s="18"/>
      <c r="Z134" s="18"/>
      <c r="AA134" s="18"/>
      <c r="AB134" s="137"/>
      <c r="AC134" s="138"/>
      <c r="AD134" s="139"/>
      <c r="AE134" s="139"/>
      <c r="AF134" s="139"/>
      <c r="AG134" s="139"/>
      <c r="AH134" s="549"/>
      <c r="AI134" s="113"/>
      <c r="AJ134" s="34"/>
      <c r="AK134" s="34"/>
      <c r="AL134" s="18"/>
    </row>
    <row r="135" spans="1:38" ht="13.15" customHeight="1" x14ac:dyDescent="0.2">
      <c r="A135" s="18"/>
      <c r="B135" s="388"/>
      <c r="C135" s="393"/>
      <c r="D135" s="393"/>
      <c r="E135" s="117" t="s">
        <v>255</v>
      </c>
      <c r="F135" s="143">
        <f>IF(ISBLANK(F130),F129,F130)</f>
        <v>10.26630090200586</v>
      </c>
      <c r="G135" s="18"/>
      <c r="H135" s="18"/>
      <c r="I135" s="18"/>
      <c r="J135" s="18"/>
      <c r="K135" s="144"/>
      <c r="L135" s="138"/>
      <c r="M135" s="145"/>
      <c r="N135" s="145"/>
      <c r="O135" s="145"/>
      <c r="P135" s="145"/>
      <c r="Q135" s="38"/>
      <c r="R135" s="18"/>
      <c r="S135" s="388"/>
      <c r="T135" s="393"/>
      <c r="U135" s="393"/>
      <c r="V135" s="117" t="s">
        <v>255</v>
      </c>
      <c r="W135" s="521">
        <f>IF(ISNUMBER(W129),W129,SQRT(SUMPRODUCT(W128:AA128,W128:AA128,W126:AA126)/COUNT(W128:AA128)))</f>
        <v>2.5411032992422351</v>
      </c>
      <c r="X135" s="18"/>
      <c r="Y135" s="18"/>
      <c r="Z135" s="18"/>
      <c r="AA135" s="18"/>
      <c r="AB135" s="137"/>
      <c r="AC135" s="138"/>
      <c r="AD135" s="139"/>
      <c r="AE135" s="139"/>
      <c r="AF135" s="139"/>
      <c r="AG135" s="139"/>
      <c r="AH135" s="549"/>
      <c r="AI135" s="113"/>
      <c r="AJ135" s="34"/>
      <c r="AK135" s="34"/>
      <c r="AL135" s="18"/>
    </row>
    <row r="136" spans="1:38" s="339" customFormat="1" x14ac:dyDescent="0.2">
      <c r="A136" s="165"/>
      <c r="B136" s="372" t="str">
        <f>IF(F134&lt;9, "Compatibility limits and MBDs are not trustworthy for effects with marginally adequate precision","")</f>
        <v/>
      </c>
      <c r="C136" s="525"/>
      <c r="D136" s="525"/>
      <c r="E136" s="525"/>
      <c r="F136" s="526"/>
      <c r="G136" s="166"/>
      <c r="H136" s="166"/>
      <c r="I136" s="166"/>
      <c r="J136" s="166"/>
      <c r="K136" s="165"/>
      <c r="L136" s="167" t="s">
        <v>168</v>
      </c>
      <c r="M136" s="166"/>
      <c r="N136" s="166"/>
      <c r="O136" s="166"/>
      <c r="P136" s="166"/>
      <c r="Q136" s="165"/>
      <c r="R136" s="165"/>
      <c r="S136" s="372" t="str">
        <f>IF(W134&lt;9, "Compatibility limits and MBDs are not trustworthy for effects with marginally adequate precision","")</f>
        <v/>
      </c>
      <c r="T136" s="525"/>
      <c r="U136" s="525"/>
      <c r="V136" s="525"/>
      <c r="W136" s="526"/>
      <c r="X136" s="166"/>
      <c r="Y136" s="166"/>
      <c r="Z136" s="166"/>
      <c r="AA136" s="166"/>
      <c r="AB136" s="165"/>
      <c r="AC136" s="167" t="s">
        <v>168</v>
      </c>
      <c r="AD136" s="165"/>
      <c r="AE136" s="166"/>
      <c r="AF136" s="166"/>
      <c r="AG136" s="166"/>
      <c r="AH136" s="165"/>
      <c r="AI136" s="165"/>
      <c r="AJ136" s="165"/>
      <c r="AK136" s="165"/>
      <c r="AL136" s="165"/>
    </row>
    <row r="137" spans="1:38" s="339" customFormat="1" x14ac:dyDescent="0.2">
      <c r="A137" s="165"/>
      <c r="B137" s="372" t="str">
        <f>IF(F134&lt;9, "when sample size of standardizing SD is &lt;10 (DF &lt;9). See Sportscience 2019.","")</f>
        <v/>
      </c>
      <c r="C137" s="527"/>
      <c r="D137" s="526"/>
      <c r="E137" s="526"/>
      <c r="F137" s="526"/>
      <c r="G137" s="166"/>
      <c r="H137" s="166"/>
      <c r="I137" s="166"/>
      <c r="J137" s="166"/>
      <c r="K137" s="166"/>
      <c r="L137" s="168" t="s">
        <v>176</v>
      </c>
      <c r="M137" s="166">
        <f>M105-M72</f>
        <v>7.3800000000000034</v>
      </c>
      <c r="N137" s="166">
        <f>N105-N72</f>
        <v>7.3800000000000034</v>
      </c>
      <c r="O137" s="166">
        <f>O105-O72</f>
        <v>7.1145759792880199</v>
      </c>
      <c r="P137" s="166">
        <f>P105-P72</f>
        <v>7.1145759792880199</v>
      </c>
      <c r="Q137" s="165"/>
      <c r="R137" s="165"/>
      <c r="S137" s="372" t="str">
        <f>IF(W134&lt;9, "when sample size of standardizing SD is &lt;10 (DF &lt;9). See Sportscience 2019.","")</f>
        <v/>
      </c>
      <c r="T137" s="527"/>
      <c r="U137" s="526"/>
      <c r="V137" s="526"/>
      <c r="W137" s="526"/>
      <c r="X137" s="169"/>
      <c r="Y137" s="169"/>
      <c r="Z137" s="169"/>
      <c r="AA137" s="169"/>
      <c r="AB137" s="169"/>
      <c r="AC137" s="168" t="s">
        <v>177</v>
      </c>
      <c r="AD137" s="169">
        <f>AD105-AD72</f>
        <v>1.8142534697918959</v>
      </c>
      <c r="AE137" s="169">
        <f>AE105-AE72</f>
        <v>1.8142534697918959</v>
      </c>
      <c r="AF137" s="169">
        <f>AF105-AF72</f>
        <v>1.7383935465710181</v>
      </c>
      <c r="AG137" s="169">
        <f>AG105-AG72</f>
        <v>1.7383935465710181</v>
      </c>
      <c r="AH137" s="165"/>
      <c r="AI137" s="165"/>
      <c r="AJ137" s="165"/>
      <c r="AK137" s="165"/>
      <c r="AL137" s="165"/>
    </row>
    <row r="138" spans="1:38" s="339" customFormat="1" x14ac:dyDescent="0.2">
      <c r="A138" s="165"/>
      <c r="B138" s="165"/>
      <c r="C138" s="168"/>
      <c r="D138" s="170"/>
      <c r="E138" s="170"/>
      <c r="F138" s="170"/>
      <c r="G138" s="170"/>
      <c r="H138" s="170"/>
      <c r="I138" s="170"/>
      <c r="J138" s="170"/>
      <c r="K138" s="165"/>
      <c r="L138" s="168" t="s">
        <v>79</v>
      </c>
      <c r="M138" s="170">
        <f>(M74^2+M107^2)^2/(M74^4/M75+M107^4/M108)</f>
        <v>31.254240180423359</v>
      </c>
      <c r="N138" s="170">
        <f>(N74^2+N107^2)^2/(N74^4/N75+N107^4/N108)</f>
        <v>31.254240180423359</v>
      </c>
      <c r="O138" s="170">
        <f>(O74^2+O107^2)^2/(O74^4/O75+O107^4/O108)</f>
        <v>33.703983032384201</v>
      </c>
      <c r="P138" s="170">
        <f>(P74^2+P107^2)^2/(P74^4/P75+P107^4/P108)</f>
        <v>33.703983032384201</v>
      </c>
      <c r="Q138" s="165"/>
      <c r="R138" s="165"/>
      <c r="S138" s="165"/>
      <c r="T138" s="168"/>
      <c r="U138" s="168"/>
      <c r="V138" s="170"/>
      <c r="W138" s="170"/>
      <c r="X138" s="170"/>
      <c r="Y138" s="170"/>
      <c r="Z138" s="170"/>
      <c r="AA138" s="170"/>
      <c r="AB138" s="169"/>
      <c r="AC138" s="168" t="s">
        <v>79</v>
      </c>
      <c r="AD138" s="170">
        <f>(AD74^2+AD107^2)^2/(AD74^4/AD75+AD107^4/AD108)</f>
        <v>31.410324329808272</v>
      </c>
      <c r="AE138" s="170">
        <f>(AE74^2+AE107^2)^2/(AE74^4/AE75+AE107^4/AE108)</f>
        <v>31.410324329808272</v>
      </c>
      <c r="AF138" s="170">
        <f>(AF74^2+AF107^2)^2/(AF74^4/AF75+AF107^4/AF108)</f>
        <v>33.793367428190287</v>
      </c>
      <c r="AG138" s="170">
        <f>(AG74^2+AG107^2)^2/(AG74^4/AG75+AG107^4/AG108)</f>
        <v>33.793367428190287</v>
      </c>
      <c r="AH138" s="165"/>
      <c r="AI138" s="165"/>
      <c r="AJ138" s="165"/>
      <c r="AK138" s="165"/>
      <c r="AL138" s="165"/>
    </row>
    <row r="139" spans="1:38" s="339" customFormat="1" x14ac:dyDescent="0.2">
      <c r="A139" s="165"/>
      <c r="B139" s="165"/>
      <c r="C139" s="172"/>
      <c r="D139" s="173"/>
      <c r="E139" s="173"/>
      <c r="F139" s="173"/>
      <c r="G139" s="173"/>
      <c r="H139" s="173"/>
      <c r="I139" s="173"/>
      <c r="J139" s="173"/>
      <c r="K139" s="165"/>
      <c r="L139" s="172" t="s">
        <v>47</v>
      </c>
      <c r="M139" s="174">
        <f>SQRT(M74^2+M107^2)</f>
        <v>3.165463714263014</v>
      </c>
      <c r="N139" s="174">
        <f>SQRT(N74^2+N107^2)</f>
        <v>3.165463714263014</v>
      </c>
      <c r="O139" s="174">
        <f>SQRT(O74^2+O107^2)</f>
        <v>2.5229556781181226</v>
      </c>
      <c r="P139" s="174">
        <f>SQRT(P74^2+P107^2)</f>
        <v>2.5229556781181226</v>
      </c>
      <c r="Q139" s="165"/>
      <c r="R139" s="165"/>
      <c r="S139" s="165"/>
      <c r="T139" s="172"/>
      <c r="U139" s="172"/>
      <c r="V139" s="173"/>
      <c r="W139" s="173"/>
      <c r="X139" s="173"/>
      <c r="Y139" s="173"/>
      <c r="Z139" s="173"/>
      <c r="AA139" s="173"/>
      <c r="AB139" s="175"/>
      <c r="AC139" s="172" t="s">
        <v>47</v>
      </c>
      <c r="AD139" s="173">
        <f>SQRT(AD74^2+AD107^2)</f>
        <v>0.78497271735983842</v>
      </c>
      <c r="AE139" s="173">
        <f>SQRT(AE74^2+AE107^2)</f>
        <v>0.78497271735983842</v>
      </c>
      <c r="AF139" s="173">
        <f>SQRT(AF74^2+AF107^2)</f>
        <v>0.62573727968832304</v>
      </c>
      <c r="AG139" s="173">
        <f>SQRT(AG74^2+AG107^2)</f>
        <v>0.62573727968832304</v>
      </c>
      <c r="AH139" s="165"/>
      <c r="AI139" s="165"/>
      <c r="AJ139" s="165"/>
      <c r="AK139" s="165"/>
      <c r="AL139" s="165"/>
    </row>
    <row r="140" spans="1:38" s="339" customFormat="1" x14ac:dyDescent="0.2">
      <c r="A140" s="165"/>
      <c r="B140" s="165"/>
      <c r="C140" s="172"/>
      <c r="D140" s="174"/>
      <c r="E140" s="174"/>
      <c r="F140" s="174"/>
      <c r="G140" s="174"/>
      <c r="H140" s="174"/>
      <c r="I140" s="174"/>
      <c r="J140" s="174"/>
      <c r="K140" s="165"/>
      <c r="L140" s="172" t="s">
        <v>274</v>
      </c>
      <c r="M140" s="174">
        <f>SQRT(M139^2+M137^2/F134/2)/F133</f>
        <v>0.31295658698500267</v>
      </c>
      <c r="N140" s="174">
        <f>SQRT(N139^2+N137^2/F134/2)/F133</f>
        <v>0.31295658698500267</v>
      </c>
      <c r="O140" s="174">
        <f>SQRT(O139^2+O137^2/F134/2)/F133</f>
        <v>0.25336996943438811</v>
      </c>
      <c r="P140" s="174">
        <f>SQRT(P139^2+P137^2/F134/2)/F133</f>
        <v>0.25336996943438811</v>
      </c>
      <c r="Q140" s="165"/>
      <c r="R140" s="165"/>
      <c r="S140" s="165"/>
      <c r="T140" s="172"/>
      <c r="U140" s="174"/>
      <c r="V140" s="174"/>
      <c r="W140" s="174"/>
      <c r="X140" s="174"/>
      <c r="Y140" s="174"/>
      <c r="Z140" s="174"/>
      <c r="AA140" s="174"/>
      <c r="AB140" s="175"/>
      <c r="AC140" s="172" t="s">
        <v>274</v>
      </c>
      <c r="AD140" s="174">
        <f>SQRT(AD139^2+AD137^2/W134/2)/W133</f>
        <v>0.31334196788179947</v>
      </c>
      <c r="AE140" s="174">
        <f>SQRT(AE139^2+AE137^2/W134/2)/W133</f>
        <v>0.31334196788179947</v>
      </c>
      <c r="AF140" s="174">
        <f>SQRT(AF139^2+AF137^2/W134/2)/W133</f>
        <v>0.25349575696430959</v>
      </c>
      <c r="AG140" s="174">
        <f>SQRT(AG139^2+AG137^2/W134/2)/W133</f>
        <v>0.25349575696430959</v>
      </c>
      <c r="AH140" s="165"/>
      <c r="AI140" s="165"/>
      <c r="AJ140" s="165"/>
      <c r="AK140" s="165"/>
      <c r="AL140" s="165"/>
    </row>
    <row r="141" spans="1:38" s="339" customFormat="1" x14ac:dyDescent="0.2">
      <c r="A141" s="165"/>
      <c r="B141" s="165"/>
      <c r="C141" s="172"/>
      <c r="D141" s="453"/>
      <c r="E141" s="453"/>
      <c r="F141" s="453"/>
      <c r="G141" s="453"/>
      <c r="H141" s="453"/>
      <c r="I141" s="453"/>
      <c r="J141" s="453"/>
      <c r="K141" s="165"/>
      <c r="L141" s="172" t="s">
        <v>275</v>
      </c>
      <c r="M141" s="453">
        <f>(M139^2+M137^2/F134/2)^2/(M139^4/M138+(M137^2/F134/2)^2/F134)</f>
        <v>35.869465052006312</v>
      </c>
      <c r="N141" s="453">
        <f>(N139^2+N137^2/F134/2)^2/(N139^4/N138+(N137^2/F134/2)^2/F134)</f>
        <v>35.869465052006312</v>
      </c>
      <c r="O141" s="453">
        <f>(O139^2+O137^2/F134/2)^2/(O139^4/O138+(O137^2/F134/2)^2/F134)</f>
        <v>40.934565719415659</v>
      </c>
      <c r="P141" s="453">
        <f>(P139^2+P137^2/F134/2)^2/(P139^4/P138+(P137^2/F134/2)^2/F134)</f>
        <v>40.934565719415659</v>
      </c>
      <c r="Q141" s="165"/>
      <c r="R141" s="165"/>
      <c r="S141" s="165"/>
      <c r="T141" s="172"/>
      <c r="U141" s="453"/>
      <c r="V141" s="453"/>
      <c r="W141" s="453"/>
      <c r="X141" s="453"/>
      <c r="Y141" s="453"/>
      <c r="Z141" s="453"/>
      <c r="AA141" s="453"/>
      <c r="AB141" s="175"/>
      <c r="AC141" s="172" t="s">
        <v>275</v>
      </c>
      <c r="AD141" s="453">
        <f>(AD139^2+AD137^2/W134/2)^2/(AD139^4/AD138+(AD137^2/W134/2)^2/W134)</f>
        <v>35.954541002119235</v>
      </c>
      <c r="AE141" s="453">
        <f>(AE139^2+AE137^2/W134/2)^2/(AE139^4/AE138+(AE137^2/W134/2)^2/W134)</f>
        <v>35.954541002119235</v>
      </c>
      <c r="AF141" s="453">
        <f>(AF139^2+AF137^2/W134/2)^2/(AF139^4/AF138+(AF137^2/W134/2)^2/W134)</f>
        <v>40.811914554342572</v>
      </c>
      <c r="AG141" s="453">
        <f>(AG139^2+AG137^2/W134/2)^2/(AG139^4/AG138+(AG137^2/W134/2)^2/W134)</f>
        <v>40.811914554342572</v>
      </c>
      <c r="AH141" s="165"/>
      <c r="AI141" s="165"/>
      <c r="AJ141" s="165"/>
      <c r="AK141" s="165"/>
      <c r="AL141" s="165"/>
    </row>
    <row r="142" spans="1:38" s="338" customFormat="1" ht="16.149999999999999" customHeight="1" x14ac:dyDescent="0.2">
      <c r="A142" s="18"/>
      <c r="B142" s="52"/>
      <c r="C142" s="18"/>
      <c r="D142" s="18"/>
      <c r="E142" s="52"/>
      <c r="F142" s="18"/>
      <c r="G142" s="18"/>
      <c r="H142" s="18"/>
      <c r="I142" s="18"/>
      <c r="J142" s="18"/>
      <c r="K142" s="52"/>
      <c r="L142" s="18"/>
      <c r="M142" s="54" t="str">
        <f>CONCATENATE($B$85,"-",$B$52," difference")</f>
        <v>Exptal-Control difference</v>
      </c>
      <c r="N142" s="18"/>
      <c r="O142" s="18"/>
      <c r="P142" s="18"/>
      <c r="Q142" s="52"/>
      <c r="R142" s="52"/>
      <c r="S142" s="52"/>
      <c r="T142" s="18"/>
      <c r="U142" s="18"/>
      <c r="V142" s="18"/>
      <c r="W142" s="52"/>
      <c r="X142" s="54"/>
      <c r="Y142" s="54"/>
      <c r="Z142" s="54"/>
      <c r="AA142" s="54"/>
      <c r="AB142" s="52"/>
      <c r="AC142" s="17"/>
      <c r="AD142" s="54" t="str">
        <f>CONCATENATE($B$85,"-",$B$52," difference")</f>
        <v>Exptal-Control difference</v>
      </c>
      <c r="AE142" s="49"/>
      <c r="AF142" s="49"/>
      <c r="AG142" s="49"/>
      <c r="AH142" s="52"/>
      <c r="AI142" s="52"/>
      <c r="AJ142" s="52"/>
      <c r="AK142" s="52"/>
      <c r="AL142" s="52"/>
    </row>
    <row r="143" spans="1:38" ht="16.5" x14ac:dyDescent="0.2">
      <c r="A143" s="18"/>
      <c r="B143" s="54" t="s">
        <v>4</v>
      </c>
      <c r="C143" s="18"/>
      <c r="D143" s="54" t="str">
        <f>CONCATENATE($B$85,"-",$B$52," difference")</f>
        <v>Exptal-Control difference</v>
      </c>
      <c r="E143" s="18"/>
      <c r="F143" s="18"/>
      <c r="G143" s="18"/>
      <c r="H143" s="18"/>
      <c r="I143" s="18"/>
      <c r="J143" s="18"/>
      <c r="K143" s="54" t="s">
        <v>4</v>
      </c>
      <c r="L143" s="54"/>
      <c r="M143" s="552" t="s">
        <v>123</v>
      </c>
      <c r="N143" s="552"/>
      <c r="O143" s="552" t="s">
        <v>124</v>
      </c>
      <c r="P143" s="552"/>
      <c r="Q143" s="18"/>
      <c r="R143" s="18"/>
      <c r="S143" s="54" t="s">
        <v>5</v>
      </c>
      <c r="T143" s="18"/>
      <c r="U143" s="54" t="str">
        <f>CONCATENATE($B$85,"-",$B$52," difference")</f>
        <v>Exptal-Control difference</v>
      </c>
      <c r="V143" s="18"/>
      <c r="W143" s="52"/>
      <c r="X143" s="18"/>
      <c r="Y143" s="18"/>
      <c r="Z143" s="18"/>
      <c r="AA143" s="18"/>
      <c r="AB143" s="54" t="s">
        <v>5</v>
      </c>
      <c r="AC143" s="54"/>
      <c r="AD143" s="552" t="s">
        <v>123</v>
      </c>
      <c r="AE143" s="552"/>
      <c r="AF143" s="552" t="s">
        <v>124</v>
      </c>
      <c r="AG143" s="552"/>
      <c r="AH143" s="18"/>
      <c r="AI143" s="51"/>
      <c r="AJ143" s="34"/>
      <c r="AK143" s="34"/>
      <c r="AL143" s="18"/>
    </row>
    <row r="144" spans="1:38" s="13" customFormat="1" ht="41.45" customHeight="1" x14ac:dyDescent="0.2">
      <c r="A144" s="52"/>
      <c r="B144" s="587" t="s">
        <v>237</v>
      </c>
      <c r="C144" s="588"/>
      <c r="D144" s="458" t="str">
        <f t="shared" ref="D144:E144" si="139">D51</f>
        <v>X1</v>
      </c>
      <c r="E144" s="458" t="str">
        <f t="shared" si="139"/>
        <v>X2</v>
      </c>
      <c r="F144" s="462"/>
      <c r="G144" s="462"/>
      <c r="H144" s="462"/>
      <c r="I144" s="462"/>
      <c r="J144" s="463"/>
      <c r="K144" s="589" t="s">
        <v>169</v>
      </c>
      <c r="L144" s="590"/>
      <c r="M144" s="188" t="str">
        <f>M50</f>
        <v>Custom effect, not adjusted</v>
      </c>
      <c r="N144" s="188" t="str">
        <f>N50</f>
        <v>Custom effect, not adjusted</v>
      </c>
      <c r="O144" s="188" t="str">
        <f>O50</f>
        <v>Custom effect, adjusted</v>
      </c>
      <c r="P144" s="188" t="str">
        <f>P50</f>
        <v>Custom effect, adjusted</v>
      </c>
      <c r="Q144" s="55"/>
      <c r="R144" s="55"/>
      <c r="S144" s="587" t="s">
        <v>244</v>
      </c>
      <c r="T144" s="588"/>
      <c r="U144" s="458" t="str">
        <f t="shared" ref="U144:V144" si="140">U51</f>
        <v>X1</v>
      </c>
      <c r="V144" s="458" t="str">
        <f t="shared" si="140"/>
        <v>X2</v>
      </c>
      <c r="W144" s="462"/>
      <c r="X144" s="462"/>
      <c r="Y144" s="462"/>
      <c r="Z144" s="462"/>
      <c r="AA144" s="463"/>
      <c r="AB144" s="589" t="s">
        <v>170</v>
      </c>
      <c r="AC144" s="590"/>
      <c r="AD144" s="188" t="str">
        <f>AD50</f>
        <v>Custom effect, not adjusted</v>
      </c>
      <c r="AE144" s="188" t="str">
        <f>AE50</f>
        <v>Custom effect, not adjusted</v>
      </c>
      <c r="AF144" s="188" t="str">
        <f>AF50</f>
        <v>Custom effect, adjusted</v>
      </c>
      <c r="AG144" s="188" t="str">
        <f>AG50</f>
        <v>Custom effect, adjusted</v>
      </c>
      <c r="AH144" s="55"/>
      <c r="AI144" s="55"/>
      <c r="AJ144" s="55"/>
      <c r="AK144" s="55"/>
      <c r="AL144" s="55"/>
    </row>
    <row r="145" spans="1:38" s="8" customFormat="1" x14ac:dyDescent="0.2">
      <c r="A145" s="38"/>
      <c r="B145" s="460"/>
      <c r="C145" s="461"/>
      <c r="D145" s="462"/>
      <c r="E145" s="462"/>
      <c r="F145" s="462"/>
      <c r="G145" s="462"/>
      <c r="H145" s="462"/>
      <c r="I145" s="462"/>
      <c r="J145" s="463"/>
      <c r="K145" s="457"/>
      <c r="L145" s="180" t="s">
        <v>266</v>
      </c>
      <c r="M145" s="176">
        <f>$F$42</f>
        <v>90</v>
      </c>
      <c r="N145" s="176">
        <f>$F$42</f>
        <v>90</v>
      </c>
      <c r="O145" s="176">
        <f>$F$42</f>
        <v>90</v>
      </c>
      <c r="P145" s="176">
        <f>$F$42</f>
        <v>90</v>
      </c>
      <c r="Q145" s="38"/>
      <c r="R145" s="38"/>
      <c r="S145" s="460"/>
      <c r="T145" s="461"/>
      <c r="U145" s="461"/>
      <c r="V145" s="462"/>
      <c r="W145" s="462"/>
      <c r="X145" s="462"/>
      <c r="Y145" s="462"/>
      <c r="Z145" s="462"/>
      <c r="AA145" s="463"/>
      <c r="AB145" s="457"/>
      <c r="AC145" s="180" t="s">
        <v>266</v>
      </c>
      <c r="AD145" s="176">
        <f>$F$42</f>
        <v>90</v>
      </c>
      <c r="AE145" s="176">
        <f>$F$42</f>
        <v>90</v>
      </c>
      <c r="AF145" s="176">
        <f>$F$42</f>
        <v>90</v>
      </c>
      <c r="AG145" s="176">
        <f>$F$42</f>
        <v>90</v>
      </c>
      <c r="AH145" s="38"/>
      <c r="AI145" s="38"/>
      <c r="AJ145" s="38"/>
      <c r="AK145" s="38"/>
      <c r="AL145" s="38"/>
    </row>
    <row r="146" spans="1:38" s="8" customFormat="1" x14ac:dyDescent="0.2">
      <c r="A146" s="38"/>
      <c r="B146" s="464"/>
      <c r="C146" s="465"/>
      <c r="D146" s="466"/>
      <c r="E146" s="466"/>
      <c r="F146" s="466"/>
      <c r="G146" s="466"/>
      <c r="H146" s="466"/>
      <c r="I146" s="466"/>
      <c r="J146" s="467"/>
      <c r="K146" s="457"/>
      <c r="L146" s="180" t="s">
        <v>84</v>
      </c>
      <c r="M146" s="179">
        <f>M138</f>
        <v>31.254240180423359</v>
      </c>
      <c r="N146" s="401">
        <f>N138</f>
        <v>31.254240180423359</v>
      </c>
      <c r="O146" s="401">
        <f>O138</f>
        <v>33.703983032384201</v>
      </c>
      <c r="P146" s="401">
        <f>P138</f>
        <v>33.703983032384201</v>
      </c>
      <c r="Q146" s="38"/>
      <c r="R146" s="38"/>
      <c r="S146" s="464"/>
      <c r="T146" s="465"/>
      <c r="U146" s="465"/>
      <c r="V146" s="466"/>
      <c r="W146" s="466"/>
      <c r="X146" s="466"/>
      <c r="Y146" s="466"/>
      <c r="Z146" s="466"/>
      <c r="AA146" s="467"/>
      <c r="AB146" s="457"/>
      <c r="AC146" s="180" t="s">
        <v>84</v>
      </c>
      <c r="AD146" s="179">
        <f>AD138</f>
        <v>31.410324329808272</v>
      </c>
      <c r="AE146" s="401">
        <f>AE138</f>
        <v>31.410324329808272</v>
      </c>
      <c r="AF146" s="401">
        <f>AF138</f>
        <v>33.793367428190287</v>
      </c>
      <c r="AG146" s="401">
        <f>AG138</f>
        <v>33.793367428190287</v>
      </c>
      <c r="AH146" s="38"/>
      <c r="AI146" s="38"/>
      <c r="AJ146" s="38"/>
      <c r="AK146" s="38"/>
      <c r="AL146" s="38"/>
    </row>
    <row r="147" spans="1:38" s="8" customFormat="1" ht="12.95" customHeight="1" x14ac:dyDescent="0.2">
      <c r="A147" s="38"/>
      <c r="B147" s="469"/>
      <c r="C147" s="387" t="s">
        <v>83</v>
      </c>
      <c r="D147" s="470">
        <f>D105-D72</f>
        <v>0.33500000000000085</v>
      </c>
      <c r="E147" s="470">
        <f>E105-E72</f>
        <v>-2.5399999999999068</v>
      </c>
      <c r="F147" s="505"/>
      <c r="G147" s="505"/>
      <c r="H147" s="505"/>
      <c r="I147" s="505"/>
      <c r="J147" s="506"/>
      <c r="K147" s="154"/>
      <c r="L147" s="180" t="s">
        <v>163</v>
      </c>
      <c r="M147" s="181">
        <f>M137</f>
        <v>7.3800000000000034</v>
      </c>
      <c r="N147" s="181">
        <f>N137</f>
        <v>7.3800000000000034</v>
      </c>
      <c r="O147" s="181">
        <f>O137</f>
        <v>7.1145759792880199</v>
      </c>
      <c r="P147" s="181">
        <f>P137</f>
        <v>7.1145759792880199</v>
      </c>
      <c r="Q147" s="38"/>
      <c r="R147" s="38"/>
      <c r="S147" s="469"/>
      <c r="T147" s="387" t="s">
        <v>85</v>
      </c>
      <c r="U147" s="470" t="str">
        <f>IF(U118=D118,"",100*EXP((U105-U72)/100)-100)</f>
        <v/>
      </c>
      <c r="V147" s="470">
        <f>100*EXP((U105-U72)/100)-100</f>
        <v>0.33556175211471384</v>
      </c>
      <c r="W147" s="505"/>
      <c r="X147" s="505"/>
      <c r="Y147" s="505"/>
      <c r="Z147" s="505"/>
      <c r="AA147" s="506"/>
      <c r="AB147" s="154"/>
      <c r="AC147" s="180" t="s">
        <v>164</v>
      </c>
      <c r="AD147" s="181">
        <f t="shared" ref="AD147:AG149" si="141">100*EXP(AD268/100)-100</f>
        <v>1.8308110285127839</v>
      </c>
      <c r="AE147" s="181">
        <f t="shared" si="141"/>
        <v>1.8308110285127839</v>
      </c>
      <c r="AF147" s="181">
        <f t="shared" si="141"/>
        <v>1.7535915464744107</v>
      </c>
      <c r="AG147" s="181">
        <f t="shared" si="141"/>
        <v>1.7535915464744107</v>
      </c>
      <c r="AH147" s="38"/>
      <c r="AI147" s="38"/>
      <c r="AJ147" s="38"/>
      <c r="AK147" s="38"/>
      <c r="AL147" s="38"/>
    </row>
    <row r="148" spans="1:38" s="8" customFormat="1" ht="12.95" customHeight="1" x14ac:dyDescent="0.2">
      <c r="A148" s="38"/>
      <c r="B148" s="605"/>
      <c r="C148" s="479"/>
      <c r="D148" s="499"/>
      <c r="E148" s="499"/>
      <c r="F148" s="499"/>
      <c r="G148" s="499"/>
      <c r="H148" s="499"/>
      <c r="I148" s="499"/>
      <c r="J148" s="500"/>
      <c r="K148" s="616" t="s">
        <v>267</v>
      </c>
      <c r="L148" s="402" t="s">
        <v>9</v>
      </c>
      <c r="M148" s="183">
        <f>M147-TINV((100-M145)/100,M146)*M139</f>
        <v>2.0128968169996613</v>
      </c>
      <c r="N148" s="183">
        <f>N147-TINV((100-N145)/100,N146)*N139</f>
        <v>2.0128968169996613</v>
      </c>
      <c r="O148" s="183">
        <f>O147-TINV((100-O145)/100,O146)*O139</f>
        <v>2.8448259281981692</v>
      </c>
      <c r="P148" s="183">
        <f>P147-TINV((100-P145)/100,P146)*P139</f>
        <v>2.8448259281981692</v>
      </c>
      <c r="Q148" s="38"/>
      <c r="R148" s="38"/>
      <c r="S148" s="605"/>
      <c r="T148" s="479"/>
      <c r="U148" s="499"/>
      <c r="V148" s="499"/>
      <c r="W148" s="499"/>
      <c r="X148" s="499"/>
      <c r="Y148" s="499"/>
      <c r="Z148" s="499"/>
      <c r="AA148" s="500"/>
      <c r="AB148" s="621" t="s">
        <v>268</v>
      </c>
      <c r="AC148" s="402" t="s">
        <v>9</v>
      </c>
      <c r="AD148" s="183">
        <f t="shared" si="141"/>
        <v>0.48448734663055859</v>
      </c>
      <c r="AE148" s="183">
        <f t="shared" si="141"/>
        <v>0.48448734663055859</v>
      </c>
      <c r="AF148" s="183">
        <f t="shared" si="141"/>
        <v>0.68173390841596415</v>
      </c>
      <c r="AG148" s="183">
        <f t="shared" si="141"/>
        <v>0.68173390841596415</v>
      </c>
      <c r="AH148" s="38"/>
      <c r="AI148" s="38"/>
      <c r="AJ148" s="38"/>
      <c r="AK148" s="38"/>
      <c r="AL148" s="38"/>
    </row>
    <row r="149" spans="1:38" s="8" customFormat="1" x14ac:dyDescent="0.2">
      <c r="A149" s="38"/>
      <c r="B149" s="606"/>
      <c r="C149" s="471"/>
      <c r="D149" s="496"/>
      <c r="E149" s="496"/>
      <c r="F149" s="496"/>
      <c r="G149" s="496"/>
      <c r="H149" s="496"/>
      <c r="I149" s="496"/>
      <c r="J149" s="501"/>
      <c r="K149" s="617"/>
      <c r="L149" s="403" t="s">
        <v>10</v>
      </c>
      <c r="M149" s="185">
        <f>M147+TINV((100-M145)/100,M146)*M139</f>
        <v>12.747103183000345</v>
      </c>
      <c r="N149" s="185">
        <f>N147+TINV((100-N145)/100,N146)*N139</f>
        <v>12.747103183000345</v>
      </c>
      <c r="O149" s="185">
        <f>O147+TINV((100-O145)/100,O146)*O139</f>
        <v>11.384326030377871</v>
      </c>
      <c r="P149" s="185">
        <f>P147+TINV((100-P145)/100,P146)*P139</f>
        <v>11.384326030377871</v>
      </c>
      <c r="Q149" s="38"/>
      <c r="R149" s="38"/>
      <c r="S149" s="606"/>
      <c r="T149" s="471"/>
      <c r="U149" s="496"/>
      <c r="V149" s="496"/>
      <c r="W149" s="496"/>
      <c r="X149" s="496"/>
      <c r="Y149" s="496"/>
      <c r="Z149" s="496"/>
      <c r="AA149" s="501"/>
      <c r="AB149" s="622"/>
      <c r="AC149" s="403" t="s">
        <v>10</v>
      </c>
      <c r="AD149" s="185">
        <f t="shared" si="141"/>
        <v>3.1951731908039136</v>
      </c>
      <c r="AE149" s="185">
        <f t="shared" si="141"/>
        <v>3.1951731908039136</v>
      </c>
      <c r="AF149" s="185">
        <f t="shared" si="141"/>
        <v>2.8368601798709676</v>
      </c>
      <c r="AG149" s="185">
        <f t="shared" si="141"/>
        <v>2.8368601798709676</v>
      </c>
      <c r="AH149" s="38"/>
      <c r="AI149" s="38"/>
      <c r="AJ149" s="38"/>
      <c r="AK149" s="38"/>
      <c r="AL149" s="38"/>
    </row>
    <row r="150" spans="1:38" s="8" customFormat="1" ht="12.95" customHeight="1" x14ac:dyDescent="0.2">
      <c r="A150" s="38"/>
      <c r="B150" s="606"/>
      <c r="C150" s="459"/>
      <c r="D150" s="497"/>
      <c r="E150" s="497"/>
      <c r="F150" s="497"/>
      <c r="G150" s="497"/>
      <c r="H150" s="497"/>
      <c r="I150" s="497"/>
      <c r="J150" s="502"/>
      <c r="K150" s="618"/>
      <c r="L150" s="186" t="s">
        <v>11</v>
      </c>
      <c r="M150" s="187">
        <f>(M149-M148)/2</f>
        <v>5.3671031830003422</v>
      </c>
      <c r="N150" s="187">
        <f>(N149-N148)/2</f>
        <v>5.3671031830003422</v>
      </c>
      <c r="O150" s="187">
        <f>(O149-O148)/2</f>
        <v>4.2697500510898507</v>
      </c>
      <c r="P150" s="187">
        <f>(P149-P148)/2</f>
        <v>4.2697500510898507</v>
      </c>
      <c r="Q150" s="38"/>
      <c r="R150" s="38"/>
      <c r="S150" s="606"/>
      <c r="T150" s="459"/>
      <c r="U150" s="497"/>
      <c r="V150" s="497"/>
      <c r="W150" s="497"/>
      <c r="X150" s="497"/>
      <c r="Y150" s="497"/>
      <c r="Z150" s="497"/>
      <c r="AA150" s="502"/>
      <c r="AB150" s="468"/>
      <c r="AC150" s="186" t="s">
        <v>46</v>
      </c>
      <c r="AD150" s="192">
        <f>(AD149-AD148)/2</f>
        <v>1.3553429220866775</v>
      </c>
      <c r="AE150" s="192">
        <f>(AE149-AE148)/2</f>
        <v>1.3553429220866775</v>
      </c>
      <c r="AF150" s="192">
        <f>(AF149-AF148)/2</f>
        <v>1.0775631357275017</v>
      </c>
      <c r="AG150" s="192">
        <f>(AG149-AG148)/2</f>
        <v>1.0775631357275017</v>
      </c>
      <c r="AH150" s="38"/>
      <c r="AI150" s="38"/>
      <c r="AJ150" s="38"/>
      <c r="AK150" s="38"/>
      <c r="AL150" s="38"/>
    </row>
    <row r="151" spans="1:38" s="407" customFormat="1" ht="12.95" customHeight="1" x14ac:dyDescent="0.2">
      <c r="A151" s="21"/>
      <c r="B151" s="593"/>
      <c r="C151" s="472"/>
      <c r="D151" s="498"/>
      <c r="E151" s="498"/>
      <c r="F151" s="498"/>
      <c r="G151" s="498"/>
      <c r="H151" s="498"/>
      <c r="I151" s="498"/>
      <c r="J151" s="504"/>
      <c r="K151" s="619" t="s">
        <v>271</v>
      </c>
      <c r="L151" s="404" t="str">
        <f>"+ive or "&amp;IF($C$36&gt;0,"harmful","beneficial")</f>
        <v>+ive or beneficial</v>
      </c>
      <c r="M151" s="405" t="str">
        <f>IF(ISBLANK($C$36),"",MAX($C$36,$D$36))</f>
        <v/>
      </c>
      <c r="N151" s="405" t="str">
        <f>IF(ISBLANK($C$36),"",MAX($C$36,$D$36))</f>
        <v/>
      </c>
      <c r="O151" s="405" t="str">
        <f>IF(ISBLANK($C$36),"",MAX($C$36,$D$36))</f>
        <v/>
      </c>
      <c r="P151" s="405" t="str">
        <f>IF(ISBLANK($C$36),"",MAX($C$36,$D$36))</f>
        <v/>
      </c>
      <c r="Q151" s="21"/>
      <c r="R151" s="21"/>
      <c r="S151" s="593"/>
      <c r="T151" s="472"/>
      <c r="U151" s="498"/>
      <c r="V151" s="498"/>
      <c r="W151" s="498"/>
      <c r="X151" s="498"/>
      <c r="Y151" s="498"/>
      <c r="Z151" s="498"/>
      <c r="AA151" s="504"/>
      <c r="AB151" s="619" t="s">
        <v>271</v>
      </c>
      <c r="AC151" s="404" t="str">
        <f>"+ive or "&amp;IF($C$37&gt;0,"harmful","beneficial")</f>
        <v>+ive or beneficial</v>
      </c>
      <c r="AD151" s="406" t="str">
        <f>IF(ISBLANK($C$37),"",MAX($C$37,$D$37))</f>
        <v/>
      </c>
      <c r="AE151" s="406" t="str">
        <f>IF(ISBLANK($C$37),"",MAX($C$37,$D$37))</f>
        <v/>
      </c>
      <c r="AF151" s="406" t="str">
        <f>IF(ISBLANK($C$37),"",MAX($C$37,$D$37))</f>
        <v/>
      </c>
      <c r="AG151" s="406" t="str">
        <f>IF(ISBLANK($C$37),"",MAX($C$37,$D$37))</f>
        <v/>
      </c>
      <c r="AH151" s="21"/>
      <c r="AI151" s="21"/>
      <c r="AJ151" s="21"/>
      <c r="AK151" s="21"/>
      <c r="AL151" s="21"/>
    </row>
    <row r="152" spans="1:38" s="407" customFormat="1" ht="12.95" customHeight="1" x14ac:dyDescent="0.2">
      <c r="A152" s="21"/>
      <c r="B152" s="593"/>
      <c r="C152" s="473"/>
      <c r="D152" s="498"/>
      <c r="E152" s="498"/>
      <c r="F152" s="498"/>
      <c r="G152" s="498"/>
      <c r="H152" s="498"/>
      <c r="I152" s="498"/>
      <c r="J152" s="504"/>
      <c r="K152" s="620"/>
      <c r="L152" s="408" t="str">
        <f>"-ive or "&amp;IF($C$36&lt;0,"harmful","beneficial")</f>
        <v>-ive or beneficial</v>
      </c>
      <c r="M152" s="405" t="str">
        <f>IF(ISBLANK($C$36),"",MIN($C$36,$D$36))</f>
        <v/>
      </c>
      <c r="N152" s="405" t="str">
        <f>IF(ISBLANK($C$36),"",MIN($C$36,$D$36))</f>
        <v/>
      </c>
      <c r="O152" s="405" t="str">
        <f>IF(ISBLANK($C$36),"",MIN($C$36,$D$36))</f>
        <v/>
      </c>
      <c r="P152" s="405" t="str">
        <f>IF(ISBLANK($C$36),"",MIN($C$36,$D$36))</f>
        <v/>
      </c>
      <c r="Q152" s="21"/>
      <c r="R152" s="21"/>
      <c r="S152" s="593"/>
      <c r="T152" s="473"/>
      <c r="U152" s="498"/>
      <c r="V152" s="498"/>
      <c r="W152" s="498"/>
      <c r="X152" s="498"/>
      <c r="Y152" s="498"/>
      <c r="Z152" s="498"/>
      <c r="AA152" s="504"/>
      <c r="AB152" s="620"/>
      <c r="AC152" s="408" t="str">
        <f>"-ive or "&amp;IF($C$37&lt;0,"harmful","beneficial")</f>
        <v>-ive or beneficial</v>
      </c>
      <c r="AD152" s="406" t="str">
        <f>IF(ISBLANK($C$37),"",MIN($C$37,$D$37))</f>
        <v/>
      </c>
      <c r="AE152" s="406" t="str">
        <f>IF(ISBLANK($C$37),"",MIN($C$37,$D$37))</f>
        <v/>
      </c>
      <c r="AF152" s="406" t="str">
        <f>IF(ISBLANK($C$37),"",MIN($C$37,$D$37))</f>
        <v/>
      </c>
      <c r="AG152" s="406" t="str">
        <f>IF(ISBLANK($C$37),"",MIN($C$37,$D$37))</f>
        <v/>
      </c>
      <c r="AH152" s="21"/>
      <c r="AI152" s="21"/>
      <c r="AJ152" s="21"/>
      <c r="AK152" s="21"/>
      <c r="AL152" s="21"/>
    </row>
    <row r="153" spans="1:38" s="407" customFormat="1" ht="12.95" customHeight="1" x14ac:dyDescent="0.2">
      <c r="A153" s="21"/>
      <c r="B153" s="593"/>
      <c r="C153" s="591"/>
      <c r="D153" s="474"/>
      <c r="E153" s="474"/>
      <c r="F153" s="474"/>
      <c r="G153" s="474"/>
      <c r="H153" s="474"/>
      <c r="I153" s="474"/>
      <c r="J153" s="480"/>
      <c r="K153" s="594" t="s">
        <v>156</v>
      </c>
      <c r="L153" s="597" t="str">
        <f>"substantially positive (+ive) or "&amp;IF($C$36&gt;0,"harmful","beneficial")</f>
        <v>substantially positive (+ive) or beneficial</v>
      </c>
      <c r="M153" s="545" t="e">
        <f>IF(ISERROR(TDIST((M151-M147)/M139,M146,1)),1-TDIST((M147-M151)/M139,M146,1),TDIST((M151-M147)/M139,M146,1))*100</f>
        <v>#VALUE!</v>
      </c>
      <c r="N153" s="545" t="e">
        <f>IF(ISERROR(TDIST((N151-N147)/N139,N146,1)),1-TDIST((N147-N151)/N139,N146,1),TDIST((N151-N147)/N139,N146,1))*100</f>
        <v>#VALUE!</v>
      </c>
      <c r="O153" s="545" t="e">
        <f>IF(ISERROR(TDIST((O151-O147)/O139,O146,1)),1-TDIST((O147-O151)/O139,O146,1),TDIST((O151-O147)/O139,O146,1))*100</f>
        <v>#VALUE!</v>
      </c>
      <c r="P153" s="545" t="e">
        <f>IF(ISERROR(TDIST((P151-P147)/P139,P146,1)),1-TDIST((P147-P151)/P139,P146,1),TDIST((P151-P147)/P139,P146,1))*100</f>
        <v>#VALUE!</v>
      </c>
      <c r="Q153" s="21"/>
      <c r="R153" s="21"/>
      <c r="S153" s="593"/>
      <c r="T153" s="591"/>
      <c r="U153" s="474"/>
      <c r="V153" s="474"/>
      <c r="W153" s="474"/>
      <c r="X153" s="474"/>
      <c r="Y153" s="474"/>
      <c r="Z153" s="474"/>
      <c r="AA153" s="480"/>
      <c r="AB153" s="594" t="s">
        <v>156</v>
      </c>
      <c r="AC153" s="597" t="str">
        <f>"substantially positive (+ive) or "&amp;IF($C$37&gt;0,"harmful","beneficial")</f>
        <v>substantially positive (+ive) or beneficial</v>
      </c>
      <c r="AD153" s="545" t="e">
        <f>IF(ISERROR(TDIST((100*LN(1+AD151/100)-AD$137)/AD$139,AD146,1)),1-TDIST((AD$137-100*LN(1+AD151/100))/AD$139,AD146,1),TDIST((100*LN(1+AD151/100)-AD$137)/AD$139,AD146,1))*100</f>
        <v>#VALUE!</v>
      </c>
      <c r="AE153" s="545" t="e">
        <f>IF(ISERROR(TDIST((100*LN(1+AE151/100)-AE$137)/AE$139,AE146,1)),1-TDIST((AE$137-100*LN(1+AE151/100))/AE$139,AE146,1),TDIST((100*LN(1+AE151/100)-AE$137)/AE$139,AE146,1))*100</f>
        <v>#VALUE!</v>
      </c>
      <c r="AF153" s="545" t="e">
        <f>IF(ISERROR(TDIST((100*LN(1+AF151/100)-AF$137)/AF$139,AF146,1)),1-TDIST((AF$137-100*LN(1+AF151/100))/AF$139,AF146,1),TDIST((100*LN(1+AF151/100)-AF$137)/AF$139,AF146,1))*100</f>
        <v>#VALUE!</v>
      </c>
      <c r="AG153" s="545" t="e">
        <f>IF(ISERROR(TDIST((100*LN(1+AG151/100)-AG$137)/AG$139,AG146,1)),1-TDIST((AG$137-100*LN(1+AG151/100))/AG$139,AG146,1),TDIST((100*LN(1+AG151/100)-AG$137)/AG$139,AG146,1))*100</f>
        <v>#VALUE!</v>
      </c>
      <c r="AH153" s="21"/>
      <c r="AI153" s="21"/>
      <c r="AJ153" s="21"/>
      <c r="AK153" s="21"/>
      <c r="AL153" s="21"/>
    </row>
    <row r="154" spans="1:38" s="407" customFormat="1" ht="30.95" customHeight="1" x14ac:dyDescent="0.2">
      <c r="A154" s="21"/>
      <c r="B154" s="593"/>
      <c r="C154" s="592"/>
      <c r="D154" s="475"/>
      <c r="E154" s="475"/>
      <c r="F154" s="475"/>
      <c r="G154" s="475"/>
      <c r="H154" s="475"/>
      <c r="I154" s="475"/>
      <c r="J154" s="481"/>
      <c r="K154" s="585"/>
      <c r="L154" s="598"/>
      <c r="M154" s="409" t="e">
        <f>IF(M153&lt;0.5,"most unlikely",IF(M153&lt;5,"very unlikely",IF(M153&lt;25,"unlikely",IF(M153&lt;75,"possibly",IF(M153&lt;95,"likely",IF(M153&lt;99.5,"very likely","most likely"))))))</f>
        <v>#VALUE!</v>
      </c>
      <c r="N154" s="409" t="e">
        <f>IF(N153&lt;0.5,"most unlikely",IF(N153&lt;5,"very unlikely",IF(N153&lt;25,"unlikely",IF(N153&lt;75,"possibly",IF(N153&lt;95,"likely",IF(N153&lt;99.5,"very likely","most likely"))))))</f>
        <v>#VALUE!</v>
      </c>
      <c r="O154" s="409" t="e">
        <f>IF(O153&lt;0.5,"most unlikely",IF(O153&lt;5,"very unlikely",IF(O153&lt;25,"unlikely",IF(O153&lt;75,"possibly",IF(O153&lt;95,"likely",IF(O153&lt;99.5,"very likely","most likely"))))))</f>
        <v>#VALUE!</v>
      </c>
      <c r="P154" s="409" t="e">
        <f>IF(P153&lt;0.5,"most unlikely",IF(P153&lt;5,"very unlikely",IF(P153&lt;25,"unlikely",IF(P153&lt;75,"possibly",IF(P153&lt;95,"likely",IF(P153&lt;99.5,"very likely","most likely"))))))</f>
        <v>#VALUE!</v>
      </c>
      <c r="Q154" s="21" t="str">
        <f>"  Graph of custom effect vs "&amp;D51</f>
        <v xml:space="preserve">  Graph of custom effect vs X1</v>
      </c>
      <c r="R154" s="21"/>
      <c r="S154" s="593"/>
      <c r="T154" s="592"/>
      <c r="U154" s="475"/>
      <c r="V154" s="475"/>
      <c r="W154" s="475"/>
      <c r="X154" s="475"/>
      <c r="Y154" s="475"/>
      <c r="Z154" s="475"/>
      <c r="AA154" s="481"/>
      <c r="AB154" s="585"/>
      <c r="AC154" s="598"/>
      <c r="AD154" s="409" t="e">
        <f>IF(AD153&lt;0.5,"most unlikely",IF(AD153&lt;5,"very unlikely",IF(AD153&lt;25,"unlikely",IF(AD153&lt;75,"possibly",IF(AD153&lt;95,"likely",IF(AD153&lt;99.5,"very likely","most likely"))))))</f>
        <v>#VALUE!</v>
      </c>
      <c r="AE154" s="409" t="e">
        <f>IF(AE153&lt;0.5,"most unlikely",IF(AE153&lt;5,"very unlikely",IF(AE153&lt;25,"unlikely",IF(AE153&lt;75,"possibly",IF(AE153&lt;95,"likely",IF(AE153&lt;99.5,"very likely","most likely"))))))</f>
        <v>#VALUE!</v>
      </c>
      <c r="AF154" s="409" t="e">
        <f>IF(AF153&lt;0.5,"most unlikely",IF(AF153&lt;5,"very unlikely",IF(AF153&lt;25,"unlikely",IF(AF153&lt;75,"possibly",IF(AF153&lt;95,"likely",IF(AF153&lt;99.5,"very likely","most likely"))))))</f>
        <v>#VALUE!</v>
      </c>
      <c r="AG154" s="409" t="e">
        <f>IF(AG153&lt;0.5,"most unlikely",IF(AG153&lt;5,"very unlikely",IF(AG153&lt;25,"unlikely",IF(AG153&lt;75,"possibly",IF(AG153&lt;95,"likely",IF(AG153&lt;99.5,"very likely","most likely"))))))</f>
        <v>#VALUE!</v>
      </c>
      <c r="AH154" s="547" t="str">
        <f>"Graph of custom effect vs "&amp;D51&amp;" adjusted for "&amp;E51</f>
        <v>Graph of custom effect vs X1 adjusted for X2</v>
      </c>
      <c r="AI154" s="546"/>
      <c r="AJ154" s="546"/>
      <c r="AK154" s="546"/>
      <c r="AL154" s="546"/>
    </row>
    <row r="155" spans="1:38" s="407" customFormat="1" ht="12.95" customHeight="1" x14ac:dyDescent="0.2">
      <c r="A155" s="21"/>
      <c r="B155" s="593"/>
      <c r="C155" s="607"/>
      <c r="D155" s="474"/>
      <c r="E155" s="474"/>
      <c r="F155" s="474"/>
      <c r="G155" s="474"/>
      <c r="H155" s="474"/>
      <c r="I155" s="474"/>
      <c r="J155" s="480"/>
      <c r="K155" s="585"/>
      <c r="L155" s="599" t="s">
        <v>12</v>
      </c>
      <c r="M155" s="545" t="e">
        <f>100-M153-M157</f>
        <v>#VALUE!</v>
      </c>
      <c r="N155" s="545" t="e">
        <f>100-N153-N157</f>
        <v>#VALUE!</v>
      </c>
      <c r="O155" s="545" t="e">
        <f>100-O153-O157</f>
        <v>#VALUE!</v>
      </c>
      <c r="P155" s="545" t="e">
        <f>100-P153-P157</f>
        <v>#VALUE!</v>
      </c>
      <c r="Q155" s="410" t="str">
        <f>"  adjusted for "&amp;E51</f>
        <v xml:space="preserve">  adjusted for X2</v>
      </c>
      <c r="R155" s="21"/>
      <c r="S155" s="593"/>
      <c r="T155" s="607"/>
      <c r="U155" s="474"/>
      <c r="V155" s="474"/>
      <c r="W155" s="474"/>
      <c r="X155" s="474"/>
      <c r="Y155" s="474"/>
      <c r="Z155" s="474"/>
      <c r="AA155" s="480"/>
      <c r="AB155" s="585"/>
      <c r="AC155" s="599" t="s">
        <v>12</v>
      </c>
      <c r="AD155" s="545" t="e">
        <f>100-AD153-AD157</f>
        <v>#VALUE!</v>
      </c>
      <c r="AE155" s="545" t="e">
        <f>100-AE153-AE157</f>
        <v>#VALUE!</v>
      </c>
      <c r="AF155" s="545" t="e">
        <f>100-AF153-AF157</f>
        <v>#VALUE!</v>
      </c>
      <c r="AG155" s="545" t="e">
        <f>100-AG153-AG157</f>
        <v>#VALUE!</v>
      </c>
      <c r="AH155" s="447"/>
      <c r="AI155" s="113" t="s">
        <v>258</v>
      </c>
      <c r="AJ155" s="21"/>
      <c r="AK155" s="21"/>
      <c r="AL155" s="21"/>
    </row>
    <row r="156" spans="1:38" s="407" customFormat="1" ht="30.95" customHeight="1" x14ac:dyDescent="0.2">
      <c r="A156" s="21"/>
      <c r="B156" s="593"/>
      <c r="C156" s="607"/>
      <c r="D156" s="475"/>
      <c r="E156" s="475"/>
      <c r="F156" s="475"/>
      <c r="G156" s="475"/>
      <c r="H156" s="475"/>
      <c r="I156" s="475"/>
      <c r="J156" s="481"/>
      <c r="K156" s="585"/>
      <c r="L156" s="600"/>
      <c r="M156" s="409" t="e">
        <f>IF(M155&lt;0.5,"most unlikely",IF(M155&lt;5,"very unlikely",IF(M155&lt;25,"unlikely",IF(M155&lt;75,"possibly",IF(M155&lt;95,"likely",IF(M155&lt;99.5,"very likely","most likely"))))))</f>
        <v>#VALUE!</v>
      </c>
      <c r="N156" s="409" t="e">
        <f>IF(N155&lt;0.5,"most unlikely",IF(N155&lt;5,"very unlikely",IF(N155&lt;25,"unlikely",IF(N155&lt;75,"possibly",IF(N155&lt;95,"likely",IF(N155&lt;99.5,"very likely","most likely"))))))</f>
        <v>#VALUE!</v>
      </c>
      <c r="O156" s="409" t="e">
        <f>IF(O155&lt;0.5,"most unlikely",IF(O155&lt;5,"very unlikely",IF(O155&lt;25,"unlikely",IF(O155&lt;75,"possibly",IF(O155&lt;95,"likely",IF(O155&lt;99.5,"very likely","most likely"))))))</f>
        <v>#VALUE!</v>
      </c>
      <c r="P156" s="409" t="e">
        <f>IF(P155&lt;0.5,"most unlikely",IF(P155&lt;5,"very unlikely",IF(P155&lt;25,"unlikely",IF(P155&lt;75,"possibly",IF(P155&lt;95,"likely",IF(P155&lt;99.5,"very likely","most likely"))))))</f>
        <v>#VALUE!</v>
      </c>
      <c r="Q156" s="21"/>
      <c r="R156" s="21"/>
      <c r="S156" s="593"/>
      <c r="T156" s="607"/>
      <c r="U156" s="475"/>
      <c r="V156" s="475"/>
      <c r="W156" s="475"/>
      <c r="X156" s="475"/>
      <c r="Y156" s="475"/>
      <c r="Z156" s="475"/>
      <c r="AA156" s="481"/>
      <c r="AB156" s="585"/>
      <c r="AC156" s="600"/>
      <c r="AD156" s="409" t="e">
        <f>IF(AD155&lt;0.5,"most unlikely",IF(AD155&lt;5,"very unlikely",IF(AD155&lt;25,"unlikely",IF(AD155&lt;75,"possibly",IF(AD155&lt;95,"likely",IF(AD155&lt;99.5,"very likely","most likely"))))))</f>
        <v>#VALUE!</v>
      </c>
      <c r="AE156" s="409" t="e">
        <f>IF(AE155&lt;0.5,"most unlikely",IF(AE155&lt;5,"very unlikely",IF(AE155&lt;25,"unlikely",IF(AE155&lt;75,"possibly",IF(AE155&lt;95,"likely",IF(AE155&lt;99.5,"very likely","most likely"))))))</f>
        <v>#VALUE!</v>
      </c>
      <c r="AF156" s="409" t="e">
        <f>IF(AF155&lt;0.5,"most unlikely",IF(AF155&lt;5,"very unlikely",IF(AF155&lt;25,"unlikely",IF(AF155&lt;75,"possibly",IF(AF155&lt;95,"likely",IF(AF155&lt;99.5,"very likely","most likely"))))))</f>
        <v>#VALUE!</v>
      </c>
      <c r="AG156" s="409" t="e">
        <f>IF(AG155&lt;0.5,"most unlikely",IF(AG155&lt;5,"very unlikely",IF(AG155&lt;25,"unlikely",IF(AG155&lt;75,"possibly",IF(AG155&lt;95,"likely",IF(AG155&lt;99.5,"very likely","most likely"))))))</f>
        <v>#VALUE!</v>
      </c>
      <c r="AH156" s="447"/>
      <c r="AI156" s="446" t="s">
        <v>260</v>
      </c>
      <c r="AJ156" s="21"/>
      <c r="AK156" s="21"/>
      <c r="AL156" s="21"/>
    </row>
    <row r="157" spans="1:38" s="407" customFormat="1" ht="12.95" customHeight="1" x14ac:dyDescent="0.2">
      <c r="A157" s="21"/>
      <c r="B157" s="593"/>
      <c r="C157" s="608"/>
      <c r="D157" s="474"/>
      <c r="E157" s="474"/>
      <c r="F157" s="474"/>
      <c r="G157" s="474"/>
      <c r="H157" s="474"/>
      <c r="I157" s="474"/>
      <c r="J157" s="480"/>
      <c r="K157" s="585"/>
      <c r="L157" s="603" t="str">
        <f>"substantially negative (-ive) or "&amp;IF($C$36&lt;0,"harmful","beneficial")</f>
        <v>substantially negative (-ive) or beneficial</v>
      </c>
      <c r="M157" s="545" t="e">
        <f>IF(ISERROR(TDIST((M152-M147)/M139,M146,1)),TDIST((M147-M152)/M139,M146,1),1-TDIST((M152-M147)/M139,M146,1))*100</f>
        <v>#VALUE!</v>
      </c>
      <c r="N157" s="545" t="e">
        <f>IF(ISERROR(TDIST((N152-N147)/N139,N146,1)),TDIST((N147-N152)/N139,N146,1),1-TDIST((N152-N147)/N139,N146,1))*100</f>
        <v>#VALUE!</v>
      </c>
      <c r="O157" s="545" t="e">
        <f>IF(ISERROR(TDIST((O152-O147)/O139,O146,1)),TDIST((O147-O152)/O139,O146,1),1-TDIST((O152-O147)/O139,O146,1))*100</f>
        <v>#VALUE!</v>
      </c>
      <c r="P157" s="545" t="e">
        <f>IF(ISERROR(TDIST((P152-P147)/P139,P146,1)),TDIST((P147-P152)/P139,P146,1),1-TDIST((P152-P147)/P139,P146,1))*100</f>
        <v>#VALUE!</v>
      </c>
      <c r="Q157" s="21"/>
      <c r="R157" s="21"/>
      <c r="S157" s="593"/>
      <c r="T157" s="608"/>
      <c r="U157" s="474"/>
      <c r="V157" s="474"/>
      <c r="W157" s="474"/>
      <c r="X157" s="474"/>
      <c r="Y157" s="474"/>
      <c r="Z157" s="474"/>
      <c r="AA157" s="480"/>
      <c r="AB157" s="585"/>
      <c r="AC157" s="603" t="str">
        <f>"substantially negative (-ive) or "&amp;IF($C$37&lt;0,"harmful","beneficial")</f>
        <v>substantially negative (-ive) or beneficial</v>
      </c>
      <c r="AD157" s="545" t="e">
        <f>IF(ISERROR(TDIST((100*LN(1+AD152/100)-AD$137)/AD$139,AD146,1)),TDIST((AD$137-100*LN(1+AD152/100))/AD$139,AD146,1),1-TDIST((100*LN(1+AD152/100)-AD$137)/AD$139,AD146,1))*100</f>
        <v>#VALUE!</v>
      </c>
      <c r="AE157" s="545" t="e">
        <f>IF(ISERROR(TDIST((100*LN(1+AE152/100)-AE$137)/AE$139,AE146,1)),TDIST((AE$137-100*LN(1+AE152/100))/AE$139,AE146,1),1-TDIST((100*LN(1+AE152/100)-AE$137)/AE$139,AE146,1))*100</f>
        <v>#VALUE!</v>
      </c>
      <c r="AF157" s="545" t="e">
        <f>IF(ISERROR(TDIST((100*LN(1+AF152/100)-AF$137)/AF$139,AF146,1)),TDIST((AF$137-100*LN(1+AF152/100))/AF$139,AF146,1),1-TDIST((100*LN(1+AF152/100)-AF$137)/AF$139,AF146,1))*100</f>
        <v>#VALUE!</v>
      </c>
      <c r="AG157" s="545" t="e">
        <f>IF(ISERROR(TDIST((100*LN(1+AG152/100)-AG$137)/AG$139,AG146,1)),TDIST((AG$137-100*LN(1+AG152/100))/AG$139,AG146,1),1-TDIST((100*LN(1+AG152/100)-AG$137)/AG$139,AG146,1))*100</f>
        <v>#VALUE!</v>
      </c>
      <c r="AH157" s="21"/>
      <c r="AI157" s="21"/>
      <c r="AJ157" s="21"/>
      <c r="AK157" s="21"/>
      <c r="AL157" s="21"/>
    </row>
    <row r="158" spans="1:38" s="407" customFormat="1" ht="30.95" customHeight="1" x14ac:dyDescent="0.2">
      <c r="A158" s="21"/>
      <c r="B158" s="593"/>
      <c r="C158" s="609"/>
      <c r="D158" s="475"/>
      <c r="E158" s="475"/>
      <c r="F158" s="475"/>
      <c r="G158" s="475"/>
      <c r="H158" s="475"/>
      <c r="I158" s="475"/>
      <c r="J158" s="481"/>
      <c r="K158" s="585"/>
      <c r="L158" s="604"/>
      <c r="M158" s="409" t="e">
        <f>IF(M157&lt;0.5,"most unlikely",IF(M157&lt;5,"very unlikely",IF(M157&lt;25,"unlikely",IF(M157&lt;75,"possibly",IF(M157&lt;95,"likely",IF(M157&lt;99.5,"very likely","most likely"))))))</f>
        <v>#VALUE!</v>
      </c>
      <c r="N158" s="409" t="e">
        <f>IF(N157&lt;0.5,"most unlikely",IF(N157&lt;5,"very unlikely",IF(N157&lt;25,"unlikely",IF(N157&lt;75,"possibly",IF(N157&lt;95,"likely",IF(N157&lt;99.5,"very likely","most likely"))))))</f>
        <v>#VALUE!</v>
      </c>
      <c r="O158" s="409" t="e">
        <f>IF(O157&lt;0.5,"most unlikely",IF(O157&lt;5,"very unlikely",IF(O157&lt;25,"unlikely",IF(O157&lt;75,"possibly",IF(O157&lt;95,"likely",IF(O157&lt;99.5,"very likely","most likely"))))))</f>
        <v>#VALUE!</v>
      </c>
      <c r="P158" s="409" t="e">
        <f>IF(P157&lt;0.5,"most unlikely",IF(P157&lt;5,"very unlikely",IF(P157&lt;25,"unlikely",IF(P157&lt;75,"possibly",IF(P157&lt;95,"likely",IF(P157&lt;99.5,"very likely","most likely"))))))</f>
        <v>#VALUE!</v>
      </c>
      <c r="Q158" s="21"/>
      <c r="R158" s="21"/>
      <c r="S158" s="593"/>
      <c r="T158" s="609"/>
      <c r="U158" s="475"/>
      <c r="V158" s="475"/>
      <c r="W158" s="475"/>
      <c r="X158" s="475"/>
      <c r="Y158" s="475"/>
      <c r="Z158" s="475"/>
      <c r="AA158" s="481"/>
      <c r="AB158" s="585"/>
      <c r="AC158" s="604"/>
      <c r="AD158" s="409" t="e">
        <f>IF(AD157&lt;0.5,"most unlikely",IF(AD157&lt;5,"very unlikely",IF(AD157&lt;25,"unlikely",IF(AD157&lt;75,"possibly",IF(AD157&lt;95,"likely",IF(AD157&lt;99.5,"very likely","most likely"))))))</f>
        <v>#VALUE!</v>
      </c>
      <c r="AE158" s="409" t="e">
        <f>IF(AE157&lt;0.5,"most unlikely",IF(AE157&lt;5,"very unlikely",IF(AE157&lt;25,"unlikely",IF(AE157&lt;75,"possibly",IF(AE157&lt;95,"likely",IF(AE157&lt;99.5,"very likely","most likely"))))))</f>
        <v>#VALUE!</v>
      </c>
      <c r="AF158" s="409" t="e">
        <f>IF(AF157&lt;0.5,"most unlikely",IF(AF157&lt;5,"very unlikely",IF(AF157&lt;25,"unlikely",IF(AF157&lt;75,"possibly",IF(AF157&lt;95,"likely",IF(AF157&lt;99.5,"very likely","most likely"))))))</f>
        <v>#VALUE!</v>
      </c>
      <c r="AG158" s="409" t="e">
        <f>IF(AG157&lt;0.5,"most unlikely",IF(AG157&lt;5,"very unlikely",IF(AG157&lt;25,"unlikely",IF(AG157&lt;75,"possibly",IF(AG157&lt;95,"likely",IF(AG157&lt;99.5,"very likely","most likely"))))))</f>
        <v>#VALUE!</v>
      </c>
      <c r="AH158" s="21"/>
      <c r="AI158" s="21"/>
      <c r="AJ158" s="21"/>
      <c r="AK158" s="21"/>
      <c r="AL158" s="21"/>
    </row>
    <row r="159" spans="1:38" s="407" customFormat="1" ht="35.1" customHeight="1" x14ac:dyDescent="0.2">
      <c r="A159" s="21"/>
      <c r="B159" s="581"/>
      <c r="C159" s="582"/>
      <c r="D159" s="476"/>
      <c r="E159" s="476"/>
      <c r="F159" s="476"/>
      <c r="G159" s="476"/>
      <c r="H159" s="476"/>
      <c r="I159" s="476"/>
      <c r="J159" s="482"/>
      <c r="K159" s="580" t="str">
        <f>"Non-clinical  decision, based on threshold chances of "&amp;$F$44&amp;"% for substantial magnitudes"</f>
        <v>Non-clinical  decision, based on threshold chances of 5% for substantial magnitudes</v>
      </c>
      <c r="L159" s="571"/>
      <c r="M159" s="399" t="e">
        <f>IF(MIN(M153,M157)&gt;$F$44,"unclear; get more data",IF(M153&gt;25,M154&amp;" +ive",IF(M157&gt;25,M158&amp;" –ive",M156&amp;" trivial")))</f>
        <v>#VALUE!</v>
      </c>
      <c r="N159" s="399" t="e">
        <f t="shared" ref="N159:P159" si="142">IF(MIN(N153,N157)&gt;$F$44,"unclear; get more data",IF(N153&gt;25,N154&amp;" +ive",IF(N157&gt;25,N158&amp;" –ive",N156&amp;" trivial")))</f>
        <v>#VALUE!</v>
      </c>
      <c r="O159" s="399" t="e">
        <f t="shared" si="142"/>
        <v>#VALUE!</v>
      </c>
      <c r="P159" s="399" t="e">
        <f t="shared" si="142"/>
        <v>#VALUE!</v>
      </c>
      <c r="Q159" s="21"/>
      <c r="R159" s="21"/>
      <c r="S159" s="581"/>
      <c r="T159" s="582"/>
      <c r="U159" s="476"/>
      <c r="V159" s="476"/>
      <c r="W159" s="476"/>
      <c r="X159" s="476"/>
      <c r="Y159" s="476"/>
      <c r="Z159" s="476"/>
      <c r="AA159" s="482"/>
      <c r="AB159" s="580" t="str">
        <f>"Non-clinical  decision, based on threshold chances of "&amp;$F$44&amp;"% for substantial magnitudes"</f>
        <v>Non-clinical  decision, based on threshold chances of 5% for substantial magnitudes</v>
      </c>
      <c r="AC159" s="571"/>
      <c r="AD159" s="399" t="e">
        <f>IF(MIN(AD153,AD157)&gt;$F$44,"unclear; get more data",IF(AD153&gt;25,AD154&amp;" +ive",IF(AD157&gt;25,AD158&amp;" –ive",AD156&amp;" trivial")))</f>
        <v>#VALUE!</v>
      </c>
      <c r="AE159" s="399" t="e">
        <f t="shared" ref="AE159" si="143">IF(MIN(AE153,AE157)&gt;$F$44,"unclear; get more data",IF(AE153&gt;25,AE154&amp;" +ive",IF(AE157&gt;25,AE158&amp;" –ive",AE156&amp;" trivial")))</f>
        <v>#VALUE!</v>
      </c>
      <c r="AF159" s="399" t="e">
        <f t="shared" ref="AF159" si="144">IF(MIN(AF153,AF157)&gt;$F$44,"unclear; get more data",IF(AF153&gt;25,AF154&amp;" +ive",IF(AF157&gt;25,AF158&amp;" –ive",AF156&amp;" trivial")))</f>
        <v>#VALUE!</v>
      </c>
      <c r="AG159" s="399" t="e">
        <f t="shared" ref="AG159" si="145">IF(MIN(AG153,AG157)&gt;$F$44,"unclear; get more data",IF(AG153&gt;25,AG154&amp;" +ive",IF(AG157&gt;25,AG158&amp;" –ive",AG156&amp;" trivial")))</f>
        <v>#VALUE!</v>
      </c>
      <c r="AH159" s="21"/>
      <c r="AI159" s="21"/>
      <c r="AJ159" s="21"/>
      <c r="AK159" s="21"/>
      <c r="AL159" s="21"/>
    </row>
    <row r="160" spans="1:38" s="407" customFormat="1" ht="35.1" customHeight="1" x14ac:dyDescent="0.2">
      <c r="A160" s="21"/>
      <c r="B160" s="581"/>
      <c r="C160" s="582"/>
      <c r="D160" s="477"/>
      <c r="E160" s="477"/>
      <c r="F160" s="477"/>
      <c r="G160" s="477"/>
      <c r="H160" s="477"/>
      <c r="I160" s="477"/>
      <c r="J160" s="483"/>
      <c r="K160" s="580" t="str">
        <f>"Clinical decision, based on threshold chances of harm and benefit of "&amp;$F$45&amp;"% and "&amp;$F$46&amp;"%"</f>
        <v>Clinical decision, based on threshold chances of harm and benefit of 0.5% and 25%</v>
      </c>
      <c r="L160" s="571"/>
      <c r="M160" s="399" t="e">
        <f>IF($C$36&gt;0,IF(M157&gt;$F$46,IF(M153&lt;$F$45,M158&amp;" beneficial","unclear; get more data"),IF(M153&gt;25,M154&amp;" harmful",M156&amp;" trivial")),IF(M153&gt;$F$46,IF(M157&lt;$F$45,M154&amp;" beneficial","unclear; get more data"),IF(M157&gt;25,M158&amp;" harmful",M156&amp;" trivial")))</f>
        <v>#VALUE!</v>
      </c>
      <c r="N160" s="399" t="e">
        <f>IF($C$36&gt;0,IF(N157&gt;$F$46,IF(N153&lt;$F$45,N158&amp;" beneficial","unclear; get more data"),IF(N153&gt;25,N154&amp;" harmful",N156&amp;" trivial")),IF(N153&gt;$F$46,IF(N157&lt;$F$45,N154&amp;" beneficial","unclear; get more data"),IF(N157&gt;25,N158&amp;" harmful",N156&amp;" trivial")))</f>
        <v>#VALUE!</v>
      </c>
      <c r="O160" s="399" t="e">
        <f>IF($C$36&gt;0,IF(O157&gt;$F$46,IF(O153&lt;$F$45,O158&amp;" beneficial","unclear; get more data"),IF(O153&gt;25,O154&amp;" harmful",O156&amp;" trivial")),IF(O153&gt;$F$46,IF(O157&lt;$F$45,O154&amp;" beneficial","unclear; get more data"),IF(O157&gt;25,O158&amp;" harmful",O156&amp;" trivial")))</f>
        <v>#VALUE!</v>
      </c>
      <c r="P160" s="399" t="e">
        <f>IF($C$36&gt;0,IF(P157&gt;$F$46,IF(P153&lt;$F$45,P158&amp;" beneficial","unclear; get more data"),IF(P153&gt;25,P154&amp;" harmful",P156&amp;" trivial")),IF(P153&gt;$F$46,IF(P157&lt;$F$45,P154&amp;" beneficial","unclear; get more data"),IF(P157&gt;25,P158&amp;" harmful",P156&amp;" trivial")))</f>
        <v>#VALUE!</v>
      </c>
      <c r="Q160" s="21"/>
      <c r="R160" s="21"/>
      <c r="S160" s="581"/>
      <c r="T160" s="582"/>
      <c r="U160" s="477"/>
      <c r="V160" s="477"/>
      <c r="W160" s="477"/>
      <c r="X160" s="477"/>
      <c r="Y160" s="477"/>
      <c r="Z160" s="477"/>
      <c r="AA160" s="483"/>
      <c r="AB160" s="580" t="str">
        <f>"Clinical decision, based on threshold chances of harm and benefit of "&amp;$F$45&amp;"% and "&amp;$F$46&amp;"%"</f>
        <v>Clinical decision, based on threshold chances of harm and benefit of 0.5% and 25%</v>
      </c>
      <c r="AC160" s="571"/>
      <c r="AD160" s="399" t="e">
        <f>IF($C$37&gt;0,IF(AD157&gt;$F$46,IF(AD153&lt;$F$45,AD158&amp;" beneficial","unclear; get more data"),IF(AD153&gt;25,AD154&amp;" harmful",AD156&amp;" trivial")),IF(AD153&gt;$F$46,IF(AD157&lt;$F$45,AD154&amp;" beneficial","unclear; get more data"),IF(AD157&gt;25,AD158&amp;" harmful",AD156&amp;" trivial")))</f>
        <v>#VALUE!</v>
      </c>
      <c r="AE160" s="399" t="e">
        <f>IF($C$37&gt;0,IF(AE157&gt;$F$46,IF(AE153&lt;$F$45,AE158&amp;" beneficial","unclear; get more data"),IF(AE153&gt;25,AE154&amp;" harmful",AE156&amp;" trivial")),IF(AE153&gt;$F$46,IF(AE157&lt;$F$45,AE154&amp;" beneficial","unclear; get more data"),IF(AE157&gt;25,AE158&amp;" harmful",AE156&amp;" trivial")))</f>
        <v>#VALUE!</v>
      </c>
      <c r="AF160" s="399" t="e">
        <f>IF($C$37&gt;0,IF(AF157&gt;$F$46,IF(AF153&lt;$F$45,AF158&amp;" beneficial","unclear; get more data"),IF(AF153&gt;25,AF154&amp;" harmful",AF156&amp;" trivial")),IF(AF153&gt;$F$46,IF(AF157&lt;$F$45,AF154&amp;" beneficial","unclear; get more data"),IF(AF157&gt;25,AF158&amp;" harmful",AF156&amp;" trivial")))</f>
        <v>#VALUE!</v>
      </c>
      <c r="AG160" s="399" t="e">
        <f>IF($C$37&gt;0,IF(AG157&gt;$F$46,IF(AG153&lt;$F$45,AG158&amp;" beneficial","unclear; get more data"),IF(AG153&gt;25,AG154&amp;" harmful",AG156&amp;" trivial")),IF(AG153&gt;$F$46,IF(AG157&lt;$F$45,AG154&amp;" beneficial","unclear; get more data"),IF(AG157&gt;25,AG158&amp;" harmful",AG156&amp;" trivial")))</f>
        <v>#VALUE!</v>
      </c>
      <c r="AH160" s="21"/>
      <c r="AI160" s="21"/>
      <c r="AJ160" s="21"/>
      <c r="AK160" s="21"/>
      <c r="AL160" s="21"/>
    </row>
    <row r="161" spans="1:38" s="407" customFormat="1" ht="12.95" customHeight="1" x14ac:dyDescent="0.2">
      <c r="A161" s="21"/>
      <c r="B161" s="581"/>
      <c r="C161" s="582"/>
      <c r="D161" s="478"/>
      <c r="E161" s="478"/>
      <c r="F161" s="478"/>
      <c r="G161" s="478"/>
      <c r="H161" s="478"/>
      <c r="I161" s="478"/>
      <c r="J161" s="484"/>
      <c r="K161" s="580" t="s">
        <v>105</v>
      </c>
      <c r="L161" s="571"/>
      <c r="M161" s="411" t="e">
        <f>IF($C$36&gt;0,M157/(100-M157)/(M153/(100-M153)),M153/(100-M153)/(M157/(100-M157)))</f>
        <v>#VALUE!</v>
      </c>
      <c r="N161" s="411" t="e">
        <f>IF($C$36&gt;0,N157/(100-N157)/(N153/(100-N153)),N153/(100-N153)/(N157/(100-N157)))</f>
        <v>#VALUE!</v>
      </c>
      <c r="O161" s="411" t="e">
        <f>IF($C$36&gt;0,O157/(100-O157)/(O153/(100-O153)),O153/(100-O153)/(O157/(100-O157)))</f>
        <v>#VALUE!</v>
      </c>
      <c r="P161" s="411" t="e">
        <f>IF($C$36&gt;0,P157/(100-P157)/(P153/(100-P153)),P153/(100-P153)/(P157/(100-P157)))</f>
        <v>#VALUE!</v>
      </c>
      <c r="Q161" s="21"/>
      <c r="R161" s="21"/>
      <c r="S161" s="581"/>
      <c r="T161" s="582"/>
      <c r="U161" s="478"/>
      <c r="V161" s="478"/>
      <c r="W161" s="478"/>
      <c r="X161" s="478"/>
      <c r="Y161" s="478"/>
      <c r="Z161" s="478"/>
      <c r="AA161" s="484"/>
      <c r="AB161" s="580" t="s">
        <v>105</v>
      </c>
      <c r="AC161" s="571"/>
      <c r="AD161" s="411" t="e">
        <f>IF($C$37&gt;0,AD157/(100-AD157)/(AD153/(100-AD153)),AD153/(100-AD153)/(AD157/(100-AD157)))</f>
        <v>#VALUE!</v>
      </c>
      <c r="AE161" s="411" t="e">
        <f>IF($C$37&gt;0,AE157/(100-AE157)/(AE153/(100-AE153)),AE153/(100-AE153)/(AE157/(100-AE157)))</f>
        <v>#VALUE!</v>
      </c>
      <c r="AF161" s="411" t="e">
        <f>IF($C$37&gt;0,AF157/(100-AF157)/(AF153/(100-AF153)),AF153/(100-AF153)/(AF157/(100-AF157)))</f>
        <v>#VALUE!</v>
      </c>
      <c r="AG161" s="411" t="e">
        <f>IF($C$37&gt;0,AG157/(100-AG157)/(AG153/(100-AG153)),AG153/(100-AG153)/(AG157/(100-AG157)))</f>
        <v>#VALUE!</v>
      </c>
      <c r="AH161" s="21"/>
      <c r="AI161" s="21"/>
      <c r="AJ161" s="21"/>
      <c r="AK161" s="21"/>
      <c r="AL161" s="21"/>
    </row>
    <row r="162" spans="1:38" s="407" customFormat="1" ht="35.1" customHeight="1" x14ac:dyDescent="0.2">
      <c r="A162" s="21"/>
      <c r="B162" s="581"/>
      <c r="C162" s="582"/>
      <c r="D162" s="477"/>
      <c r="E162" s="477"/>
      <c r="F162" s="477"/>
      <c r="G162" s="477"/>
      <c r="H162" s="477"/>
      <c r="I162" s="477"/>
      <c r="J162" s="483"/>
      <c r="K162" s="580" t="str">
        <f>"Clinical decision as above, but declaring beneficial when odds ratio of benefit/harm is &gt;"&amp;$F$47</f>
        <v>Clinical decision as above, but declaring beneficial when odds ratio of benefit/harm is &gt;66</v>
      </c>
      <c r="L162" s="571"/>
      <c r="M162" s="399" t="e">
        <f>IF(M161&gt;$F$47,IF($C$36&gt;0,M158,M154)&amp;" beneficial",IF($C$36&gt;0,IF(M157&gt;$F$46,IF(M153&lt;$F$45,M158&amp;" beneficial","unclear; get more data"),IF(M153&gt;25,M154&amp;" harmful",M156&amp;" trivial")),IF(M153&gt;$F$46,IF(M157&lt;$F$45,M154&amp;" beneficial","unclear; get more data"),IF(M157&gt;25,M158&amp;" harmful",M156&amp;" trivial"))))</f>
        <v>#VALUE!</v>
      </c>
      <c r="N162" s="399" t="e">
        <f>IF(N161&gt;$F$47,IF($C$36&gt;0,N158,N154)&amp;" beneficial",IF($C$36&gt;0,IF(N157&gt;$F$46,IF(N153&lt;$F$45,N158&amp;" beneficial","unclear; get more data"),IF(N153&gt;25,N154&amp;" harmful",N156&amp;" trivial")),IF(N153&gt;$F$46,IF(N157&lt;$F$45,N154&amp;" beneficial","unclear; get more data"),IF(N157&gt;25,N158&amp;" harmful",N156&amp;" trivial"))))</f>
        <v>#VALUE!</v>
      </c>
      <c r="O162" s="399" t="e">
        <f>IF(O161&gt;$F$47,IF($C$36&gt;0,O158,O154)&amp;" beneficial",IF($C$36&gt;0,IF(O157&gt;$F$46,IF(O153&lt;$F$45,O158&amp;" beneficial","unclear; get more data"),IF(O153&gt;25,O154&amp;" harmful",O156&amp;" trivial")),IF(O153&gt;$F$46,IF(O157&lt;$F$45,O154&amp;" beneficial","unclear; get more data"),IF(O157&gt;25,O158&amp;" harmful",O156&amp;" trivial"))))</f>
        <v>#VALUE!</v>
      </c>
      <c r="P162" s="399" t="e">
        <f>IF(P161&gt;$F$47,IF($C$36&gt;0,P158,P154)&amp;" beneficial",IF($C$36&gt;0,IF(P157&gt;$F$46,IF(P153&lt;$F$45,P158&amp;" beneficial","unclear; get more data"),IF(P153&gt;25,P154&amp;" harmful",P156&amp;" trivial")),IF(P153&gt;$F$46,IF(P157&lt;$F$45,P154&amp;" beneficial","unclear; get more data"),IF(P157&gt;25,P158&amp;" harmful",P156&amp;" trivial"))))</f>
        <v>#VALUE!</v>
      </c>
      <c r="Q162" s="21"/>
      <c r="R162" s="21"/>
      <c r="S162" s="581"/>
      <c r="T162" s="582"/>
      <c r="U162" s="477"/>
      <c r="V162" s="477"/>
      <c r="W162" s="477"/>
      <c r="X162" s="477"/>
      <c r="Y162" s="477"/>
      <c r="Z162" s="477"/>
      <c r="AA162" s="483"/>
      <c r="AB162" s="580" t="str">
        <f>"Clinical decision as above, but declaring beneficial when odds ratio of benefit/harm is &gt;"&amp;$F$47</f>
        <v>Clinical decision as above, but declaring beneficial when odds ratio of benefit/harm is &gt;66</v>
      </c>
      <c r="AC162" s="571"/>
      <c r="AD162" s="399" t="e">
        <f>IF(AD161&gt;$F$47,IF($C$37&gt;0,AD158,AD154)&amp;" beneficial",IF($C$37&gt;0,IF(AD157&gt;$F$46,IF(AD153&lt;$F$45,AD158&amp;" beneficial","unclear; get more data"),IF(AD153&gt;25,AD154&amp;" harmful",AD156&amp;" trivial")),IF(AD153&gt;$F$46,IF(AD157&lt;$F$45,AD154&amp;" beneficial","unclear; get more data"),IF(AD157&gt;25,AD158&amp;" harmful",AD156&amp;" trivial"))))</f>
        <v>#VALUE!</v>
      </c>
      <c r="AE162" s="399" t="e">
        <f>IF(AE161&gt;$F$47,IF($C$37&gt;0,AE158,AE154)&amp;" beneficial",IF($C$37&gt;0,IF(AE157&gt;$F$46,IF(AE153&lt;$F$45,AE158&amp;" beneficial","unclear; get more data"),IF(AE153&gt;25,AE154&amp;" harmful",AE156&amp;" trivial")),IF(AE153&gt;$F$46,IF(AE157&lt;$F$45,AE154&amp;" beneficial","unclear; get more data"),IF(AE157&gt;25,AE158&amp;" harmful",AE156&amp;" trivial"))))</f>
        <v>#VALUE!</v>
      </c>
      <c r="AF162" s="399" t="e">
        <f>IF(AF161&gt;$F$47,IF($C$37&gt;0,AF158,AF154)&amp;" beneficial",IF($C$37&gt;0,IF(AF157&gt;$F$46,IF(AF153&lt;$F$45,AF158&amp;" beneficial","unclear; get more data"),IF(AF153&gt;25,AF154&amp;" harmful",AF156&amp;" trivial")),IF(AF153&gt;$F$46,IF(AF157&lt;$F$45,AF154&amp;" beneficial","unclear; get more data"),IF(AF157&gt;25,AF158&amp;" harmful",AF156&amp;" trivial"))))</f>
        <v>#VALUE!</v>
      </c>
      <c r="AG162" s="399" t="e">
        <f>IF(AG161&gt;$F$47,IF($C$37&gt;0,AG158,AG154)&amp;" beneficial",IF($C$37&gt;0,IF(AG157&gt;$F$46,IF(AG153&lt;$F$45,AG158&amp;" beneficial","unclear; get more data"),IF(AG153&gt;25,AG154&amp;" harmful",AG156&amp;" trivial")),IF(AG153&gt;$F$46,IF(AG157&lt;$F$45,AG154&amp;" beneficial","unclear; get more data"),IF(AG157&gt;25,AG158&amp;" harmful",AG156&amp;" trivial"))))</f>
        <v>#VALUE!</v>
      </c>
      <c r="AH162" s="21"/>
      <c r="AI162" s="21"/>
      <c r="AJ162" s="21"/>
      <c r="AK162" s="21"/>
      <c r="AL162" s="21"/>
    </row>
    <row r="163" spans="1:38" s="407" customFormat="1" ht="12" x14ac:dyDescent="0.2">
      <c r="A163" s="21"/>
      <c r="B163" s="485"/>
      <c r="C163" s="486"/>
      <c r="D163" s="486"/>
      <c r="E163" s="486"/>
      <c r="F163" s="486"/>
      <c r="G163" s="486"/>
      <c r="H163" s="486"/>
      <c r="I163" s="486"/>
      <c r="J163" s="487"/>
      <c r="K163" s="412"/>
      <c r="L163" s="412"/>
      <c r="M163" s="412"/>
      <c r="N163" s="412"/>
      <c r="O163" s="412"/>
      <c r="P163" s="413"/>
      <c r="Q163" s="21"/>
      <c r="R163" s="21"/>
      <c r="S163" s="485"/>
      <c r="T163" s="486"/>
      <c r="U163" s="486"/>
      <c r="V163" s="486"/>
      <c r="W163" s="486"/>
      <c r="X163" s="486"/>
      <c r="Y163" s="486"/>
      <c r="Z163" s="486"/>
      <c r="AA163" s="487"/>
      <c r="AB163" s="205"/>
      <c r="AC163" s="205"/>
      <c r="AD163" s="205"/>
      <c r="AE163" s="205"/>
      <c r="AF163" s="414"/>
      <c r="AG163" s="414"/>
      <c r="AH163" s="21"/>
      <c r="AI163" s="21"/>
      <c r="AJ163" s="21"/>
      <c r="AK163" s="21"/>
      <c r="AL163" s="21"/>
    </row>
    <row r="164" spans="1:38" s="407" customFormat="1" ht="12.95" customHeight="1" x14ac:dyDescent="0.2">
      <c r="A164" s="21"/>
      <c r="B164" s="601" t="s">
        <v>254</v>
      </c>
      <c r="C164" s="602"/>
      <c r="D164" s="517">
        <f t="shared" ref="D164:E164" si="146">IF(ISERROR(SQRT(D106^2-D73^2)),-SQRT(D73^2-D106^2),SQRT(D106^2-D73^2))</f>
        <v>3.1950084424565115</v>
      </c>
      <c r="E164" s="517">
        <f t="shared" si="146"/>
        <v>4.5147186191972288</v>
      </c>
      <c r="F164" s="505"/>
      <c r="G164" s="505"/>
      <c r="H164" s="505"/>
      <c r="I164" s="505"/>
      <c r="J164" s="506"/>
      <c r="K164" s="400"/>
      <c r="L164" s="398" t="s">
        <v>253</v>
      </c>
      <c r="M164" s="415">
        <f>IF(ISERROR(SQRT(M106^2-M73^2)),-SQRT(M73^2-M106^2),SQRT(M106^2-M73^2))</f>
        <v>9.6490114028656571</v>
      </c>
      <c r="N164" s="415">
        <f>IF(ISERROR(SQRT(N106^2-N73^2)),-SQRT(N73^2-N106^2),SQRT(N106^2-N73^2))</f>
        <v>9.6490114028656571</v>
      </c>
      <c r="O164" s="415">
        <f>IF(ISERROR(SQRT(O106^2-O73^2)),-SQRT(O73^2-O106^2),SQRT(O106^2-O73^2))</f>
        <v>3.4311301470956268</v>
      </c>
      <c r="P164" s="415">
        <f>IF(ISERROR(SQRT(P106^2-P73^2)),-SQRT(P73^2-P106^2),SQRT(P106^2-P73^2))</f>
        <v>3.4311301470956268</v>
      </c>
      <c r="Q164" s="21"/>
      <c r="R164" s="21"/>
      <c r="S164" s="601" t="s">
        <v>239</v>
      </c>
      <c r="T164" s="602"/>
      <c r="U164" s="517" t="str">
        <f>IF(U118=D118,"",100*EXP(IF(ISERROR(SQRT(U106^2-U73^2)),-SQRT(U73^2-U106^2),SQRT(U106^2-U73^2))/100)-100)</f>
        <v/>
      </c>
      <c r="V164" s="517">
        <f>100*EXP(IF(ISERROR(SQRT(V106^2-V73^2)),-SQRT(V73^2-V106^2),SQRT(V106^2-V73^2))/100)-100</f>
        <v>1.1224632423590748</v>
      </c>
      <c r="W164" s="505"/>
      <c r="X164" s="505"/>
      <c r="Y164" s="505"/>
      <c r="Z164" s="505"/>
      <c r="AA164" s="506"/>
      <c r="AB164" s="400"/>
      <c r="AC164" s="398" t="s">
        <v>252</v>
      </c>
      <c r="AD164" s="416">
        <f t="shared" ref="AD164:AG166" si="147">100*EXP(AD281/100)-100</f>
        <v>2.4042894667076808</v>
      </c>
      <c r="AE164" s="417">
        <f t="shared" si="147"/>
        <v>2.4042894667076808</v>
      </c>
      <c r="AF164" s="417">
        <f t="shared" si="147"/>
        <v>0.78091305573767045</v>
      </c>
      <c r="AG164" s="417">
        <f t="shared" si="147"/>
        <v>0.78091305573767045</v>
      </c>
      <c r="AH164" s="21"/>
      <c r="AI164" s="21"/>
      <c r="AJ164" s="21"/>
      <c r="AK164" s="21"/>
      <c r="AL164" s="21"/>
    </row>
    <row r="165" spans="1:38" s="407" customFormat="1" ht="12.95" customHeight="1" x14ac:dyDescent="0.2">
      <c r="A165" s="21"/>
      <c r="B165" s="610"/>
      <c r="C165" s="488"/>
      <c r="D165" s="489"/>
      <c r="E165" s="489"/>
      <c r="F165" s="489"/>
      <c r="G165" s="489"/>
      <c r="H165" s="489"/>
      <c r="I165" s="489"/>
      <c r="J165" s="490"/>
      <c r="K165" s="612" t="s">
        <v>268</v>
      </c>
      <c r="L165" s="182" t="s">
        <v>9</v>
      </c>
      <c r="M165" s="418">
        <f>IF(ISERROR(SQRT(M106^2-M73^2+NORMINV(0.5-M145/200,0,1)*SQRT(2*M73^4/M75+2*M106^4/M108))),-SQRT(-(M106^2-M73^2+NORMINV(0.5-M145/200,0,1)*SQRT(2*M73^4/M75+2*M106^4/M108))),SQRT(M106^2-M73^2+NORMINV(0.5-M145/200,0,1)*SQRT(2*M73^4/M75+2*M106^4/M108)))</f>
        <v>3.1172989100350912</v>
      </c>
      <c r="N165" s="418">
        <f>IF(ISERROR(SQRT(N106^2-N73^2+NORMINV(0.5-N145/200,0,1)*SQRT(2*N73^4/N75+2*N106^4/N108))),-SQRT(-(N106^2-N73^2+NORMINV(0.5-N145/200,0,1)*SQRT(2*N73^4/N75+2*N106^4/N108))),SQRT(N106^2-N73^2+NORMINV(0.5-N145/200,0,1)*SQRT(2*N73^4/N75+2*N106^4/N108)))</f>
        <v>3.1172989100350912</v>
      </c>
      <c r="O165" s="418">
        <f>IF(ISERROR(SQRT(O106^2-O73^2+NORMINV(0.5-O145/200,0,1)*SQRT(2*O73^4/O75+2*O106^4/O108))),-SQRT(-(O106^2-O73^2+NORMINV(0.5-O145/200,0,1)*SQRT(2*O73^4/O75+2*O106^4/O108))),SQRT(O106^2-O73^2+NORMINV(0.5-O145/200,0,1)*SQRT(2*O73^4/O75+2*O106^4/O108)))</f>
        <v>-6.1776187345480995</v>
      </c>
      <c r="P165" s="418">
        <f>IF(ISERROR(SQRT(P106^2-P73^2+NORMINV(0.5-P145/200,0,1)*SQRT(2*P73^4/P75+2*P106^4/P108))),-SQRT(-(P106^2-P73^2+NORMINV(0.5-P145/200,0,1)*SQRT(2*P73^4/P75+2*P106^4/P108))),SQRT(P106^2-P73^2+NORMINV(0.5-P145/200,0,1)*SQRT(2*P73^4/P75+2*P106^4/P108)))</f>
        <v>-6.1776187345480995</v>
      </c>
      <c r="Q165" s="21" t="str">
        <f>"  Graph of custom effect vs "&amp;E51</f>
        <v xml:space="preserve">  Graph of custom effect vs X2</v>
      </c>
      <c r="R165" s="21"/>
      <c r="S165" s="610"/>
      <c r="T165" s="488"/>
      <c r="U165" s="488"/>
      <c r="V165" s="489"/>
      <c r="W165" s="489"/>
      <c r="X165" s="489"/>
      <c r="Y165" s="489"/>
      <c r="Z165" s="489"/>
      <c r="AA165" s="490"/>
      <c r="AB165" s="585" t="s">
        <v>268</v>
      </c>
      <c r="AC165" s="182" t="s">
        <v>9</v>
      </c>
      <c r="AD165" s="418">
        <f t="shared" si="147"/>
        <v>0.73041032908737691</v>
      </c>
      <c r="AE165" s="419">
        <f t="shared" si="147"/>
        <v>0.73041032908737691</v>
      </c>
      <c r="AF165" s="419">
        <f t="shared" si="147"/>
        <v>-1.5561033130534838</v>
      </c>
      <c r="AG165" s="419">
        <f t="shared" si="147"/>
        <v>-1.5561033130534838</v>
      </c>
      <c r="AH165" s="21"/>
      <c r="AI165" s="21"/>
      <c r="AJ165" s="21"/>
      <c r="AK165" s="21"/>
      <c r="AL165" s="21"/>
    </row>
    <row r="166" spans="1:38" s="424" customFormat="1" ht="12.95" customHeight="1" x14ac:dyDescent="0.2">
      <c r="A166" s="21"/>
      <c r="B166" s="611"/>
      <c r="C166" s="491"/>
      <c r="D166" s="515"/>
      <c r="E166" s="515"/>
      <c r="F166" s="515"/>
      <c r="G166" s="515"/>
      <c r="H166" s="515"/>
      <c r="I166" s="515"/>
      <c r="J166" s="516"/>
      <c r="K166" s="613"/>
      <c r="L166" s="397" t="s">
        <v>10</v>
      </c>
      <c r="M166" s="420">
        <f>IF(ISERROR(SQRT(M106^2-M73^2+NORMINV(0.5+M145/200,0,1)*SQRT(2*M73^4/M75+2*M106^4/M108))),-SQRT(-(M106^2-M73^2+NORMINV(0.5+M145/200,0,1)*SQRT(2*M73^4/M75+2*M106^4/M108))),SQRT(M106^2-M73^2+NORMINV(0.5+M145/200,0,1)*SQRT(2*M73^4/M75+2*M106^4/M108)))</f>
        <v>13.284927158654536</v>
      </c>
      <c r="N166" s="420">
        <f>IF(ISERROR(SQRT(N106^2-N73^2+NORMINV(0.5+N145/200,0,1)*SQRT(2*N73^4/N75+2*N106^4/N108))),-SQRT(-(N106^2-N73^2+NORMINV(0.5+N145/200,0,1)*SQRT(2*N73^4/N75+2*N106^4/N108))),SQRT(N106^2-N73^2+NORMINV(0.5+N145/200,0,1)*SQRT(2*N73^4/N75+2*N106^4/N108)))</f>
        <v>13.284927158654536</v>
      </c>
      <c r="O166" s="420">
        <f>IF(ISERROR(SQRT(O106^2-O73^2+NORMINV(0.5+O145/200,0,1)*SQRT(2*O73^4/O75+2*O106^4/O108))),-SQRT(-(O106^2-O73^2+NORMINV(0.5+O145/200,0,1)*SQRT(2*O73^4/O75+2*O106^4/O108))),SQRT(O106^2-O73^2+NORMINV(0.5+O145/200,0,1)*SQRT(2*O73^4/O75+2*O106^4/O108)))</f>
        <v>7.8554618834322243</v>
      </c>
      <c r="P166" s="420">
        <f>IF(ISERROR(SQRT(P106^2-P73^2+NORMINV(0.5+P145/200,0,1)*SQRT(2*P73^4/P75+2*P106^4/P108))),-SQRT(-(P106^2-P73^2+NORMINV(0.5+P145/200,0,1)*SQRT(2*P73^4/P75+2*P106^4/P108))),SQRT(P106^2-P73^2+NORMINV(0.5+P145/200,0,1)*SQRT(2*P73^4/P75+2*P106^4/P108)))</f>
        <v>7.8554618834322243</v>
      </c>
      <c r="Q166" s="410" t="str">
        <f>"  adjusted for "&amp;D51</f>
        <v xml:space="preserve">  adjusted for X1</v>
      </c>
      <c r="R166" s="421"/>
      <c r="S166" s="611"/>
      <c r="T166" s="491"/>
      <c r="U166" s="491"/>
      <c r="V166" s="492"/>
      <c r="W166" s="492"/>
      <c r="X166" s="492"/>
      <c r="Y166" s="492"/>
      <c r="Z166" s="492"/>
      <c r="AA166" s="493"/>
      <c r="AB166" s="586"/>
      <c r="AC166" s="397" t="s">
        <v>10</v>
      </c>
      <c r="AD166" s="422">
        <f t="shared" si="147"/>
        <v>3.3345767254002112</v>
      </c>
      <c r="AE166" s="423">
        <f t="shared" si="147"/>
        <v>3.3345767254002112</v>
      </c>
      <c r="AF166" s="423">
        <f t="shared" si="147"/>
        <v>1.9341593677994382</v>
      </c>
      <c r="AG166" s="423">
        <f t="shared" si="147"/>
        <v>1.9341593677994382</v>
      </c>
      <c r="AH166" s="21"/>
      <c r="AI166" s="113"/>
      <c r="AJ166" s="421"/>
      <c r="AK166" s="421"/>
      <c r="AL166" s="421"/>
    </row>
    <row r="167" spans="1:38" x14ac:dyDescent="0.2">
      <c r="A167" s="54"/>
      <c r="B167" s="54"/>
      <c r="C167" s="54"/>
      <c r="D167" s="54"/>
      <c r="E167" s="54"/>
      <c r="F167" s="54"/>
      <c r="G167" s="54"/>
      <c r="H167" s="54"/>
      <c r="I167" s="54"/>
      <c r="J167" s="54"/>
      <c r="K167" s="54"/>
      <c r="L167" s="54"/>
      <c r="M167" s="54"/>
      <c r="N167" s="54"/>
      <c r="O167" s="54"/>
      <c r="P167" s="54"/>
      <c r="Q167" s="18"/>
      <c r="R167" s="18"/>
      <c r="S167" s="54"/>
      <c r="T167" s="54"/>
      <c r="U167" s="54"/>
      <c r="V167" s="54"/>
      <c r="W167" s="54"/>
      <c r="X167" s="54"/>
      <c r="Y167" s="54"/>
      <c r="Z167" s="54"/>
      <c r="AA167" s="54"/>
      <c r="AB167" s="54"/>
      <c r="AC167" s="54"/>
      <c r="AD167" s="54"/>
      <c r="AE167" s="54"/>
      <c r="AF167" s="54"/>
      <c r="AG167" s="54"/>
      <c r="AH167" s="21"/>
      <c r="AI167" s="113"/>
      <c r="AJ167" s="18"/>
      <c r="AK167" s="18"/>
      <c r="AL167" s="18"/>
    </row>
    <row r="168" spans="1:38" s="9" customFormat="1" ht="30" customHeight="1" x14ac:dyDescent="0.2">
      <c r="A168" s="18"/>
      <c r="B168" s="52"/>
      <c r="C168" s="52"/>
      <c r="D168" s="52"/>
      <c r="E168" s="52"/>
      <c r="F168" s="52"/>
      <c r="G168" s="52"/>
      <c r="H168" s="52"/>
      <c r="I168" s="52"/>
      <c r="J168" s="52"/>
      <c r="K168" s="52"/>
      <c r="L168" s="18"/>
      <c r="M168" s="18"/>
      <c r="N168" s="18"/>
      <c r="O168" s="18"/>
      <c r="P168" s="18"/>
      <c r="Q168" s="52"/>
      <c r="R168" s="52"/>
      <c r="S168" s="52"/>
      <c r="T168" s="52"/>
      <c r="U168" s="52"/>
      <c r="V168" s="52"/>
      <c r="W168" s="52"/>
      <c r="X168" s="52"/>
      <c r="Y168" s="52"/>
      <c r="Z168" s="52"/>
      <c r="AA168" s="52"/>
      <c r="AB168" s="52"/>
      <c r="AC168" s="17"/>
      <c r="AD168" s="54" t="str">
        <f>CONCATENATE($B$85,"/",$B$52," ratio")</f>
        <v>Exptal/Control ratio</v>
      </c>
      <c r="AE168" s="49"/>
      <c r="AF168" s="49"/>
      <c r="AG168" s="49"/>
      <c r="AH168" s="546" t="str">
        <f>"Graph of custom effect vs "&amp;E51&amp;" adjusted for "&amp;D51</f>
        <v>Graph of custom effect vs X2 adjusted for X1</v>
      </c>
      <c r="AI168" s="546"/>
      <c r="AJ168" s="546"/>
      <c r="AK168" s="546"/>
      <c r="AL168" s="546"/>
    </row>
    <row r="169" spans="1:38" ht="16.5" x14ac:dyDescent="0.2">
      <c r="A169" s="18"/>
      <c r="B169" s="54" t="s">
        <v>4</v>
      </c>
      <c r="C169" s="18"/>
      <c r="D169" s="18"/>
      <c r="E169" s="18"/>
      <c r="F169" s="18"/>
      <c r="G169" s="18"/>
      <c r="H169" s="18"/>
      <c r="I169" s="18"/>
      <c r="J169" s="18"/>
      <c r="K169" s="54" t="s">
        <v>4</v>
      </c>
      <c r="L169" s="54"/>
      <c r="M169" s="552" t="s">
        <v>123</v>
      </c>
      <c r="N169" s="552"/>
      <c r="O169" s="552" t="s">
        <v>124</v>
      </c>
      <c r="P169" s="552"/>
      <c r="Q169" s="18"/>
      <c r="R169" s="18"/>
      <c r="S169" s="54" t="s">
        <v>5</v>
      </c>
      <c r="T169" s="18"/>
      <c r="U169" s="54" t="str">
        <f>CONCATENATE($B$85,"/",$B$52," ratio")</f>
        <v>Exptal/Control ratio</v>
      </c>
      <c r="V169" s="18"/>
      <c r="W169" s="52"/>
      <c r="X169" s="54"/>
      <c r="Y169" s="54"/>
      <c r="Z169" s="54"/>
      <c r="AA169" s="54"/>
      <c r="AB169" s="54" t="s">
        <v>5</v>
      </c>
      <c r="AC169" s="54"/>
      <c r="AD169" s="552" t="s">
        <v>123</v>
      </c>
      <c r="AE169" s="552"/>
      <c r="AF169" s="552" t="s">
        <v>124</v>
      </c>
      <c r="AG169" s="552"/>
      <c r="AH169" s="548" t="str">
        <f>"If "&amp;E51&amp;" is the baseline of the dependent, clear any blank values to get the graph to display properly."</f>
        <v>If X2 is the baseline of the dependent, clear any blank values to get the graph to display properly.</v>
      </c>
      <c r="AI169" s="38" t="s">
        <v>257</v>
      </c>
      <c r="AJ169" s="34"/>
      <c r="AK169" s="34"/>
      <c r="AL169" s="18"/>
    </row>
    <row r="170" spans="1:38" s="13" customFormat="1" ht="41.45" customHeight="1" x14ac:dyDescent="0.2">
      <c r="A170" s="52"/>
      <c r="B170" s="589" t="s">
        <v>246</v>
      </c>
      <c r="C170" s="590"/>
      <c r="D170" s="88" t="str">
        <f>D51</f>
        <v>X1</v>
      </c>
      <c r="E170" s="88" t="str">
        <f t="shared" ref="E170:J170" si="148">E51</f>
        <v>X2</v>
      </c>
      <c r="F170" s="88" t="str">
        <f t="shared" si="148"/>
        <v>Pre1</v>
      </c>
      <c r="G170" s="88" t="str">
        <f t="shared" ref="G170:I170" si="149">G51</f>
        <v>Pre2</v>
      </c>
      <c r="H170" s="88" t="str">
        <f t="shared" si="149"/>
        <v>Post1</v>
      </c>
      <c r="I170" s="88" t="str">
        <f t="shared" si="149"/>
        <v>Post2</v>
      </c>
      <c r="J170" s="88" t="str">
        <f t="shared" si="148"/>
        <v>Post3</v>
      </c>
      <c r="K170" s="589" t="s">
        <v>171</v>
      </c>
      <c r="L170" s="590"/>
      <c r="M170" s="188" t="str">
        <f>M50</f>
        <v>Custom effect, not adjusted</v>
      </c>
      <c r="N170" s="188" t="str">
        <f>N50</f>
        <v>Custom effect, not adjusted</v>
      </c>
      <c r="O170" s="188" t="str">
        <f>O50</f>
        <v>Custom effect, adjusted</v>
      </c>
      <c r="P170" s="188" t="str">
        <f>P50</f>
        <v>Custom effect, adjusted</v>
      </c>
      <c r="Q170" s="55"/>
      <c r="R170" s="55"/>
      <c r="S170" s="587" t="s">
        <v>245</v>
      </c>
      <c r="T170" s="588"/>
      <c r="U170" s="458" t="str">
        <f t="shared" ref="U170:V170" si="150">U51</f>
        <v>X1</v>
      </c>
      <c r="V170" s="458" t="str">
        <f t="shared" si="150"/>
        <v>X2</v>
      </c>
      <c r="W170" s="462"/>
      <c r="X170" s="462"/>
      <c r="Y170" s="462"/>
      <c r="Z170" s="462"/>
      <c r="AA170" s="463"/>
      <c r="AB170" s="589" t="s">
        <v>172</v>
      </c>
      <c r="AC170" s="590"/>
      <c r="AD170" s="188" t="str">
        <f>AD50</f>
        <v>Custom effect, not adjusted</v>
      </c>
      <c r="AE170" s="188" t="str">
        <f>AE50</f>
        <v>Custom effect, not adjusted</v>
      </c>
      <c r="AF170" s="188" t="str">
        <f>AF50</f>
        <v>Custom effect, adjusted</v>
      </c>
      <c r="AG170" s="188" t="str">
        <f>AG50</f>
        <v>Custom effect, adjusted</v>
      </c>
      <c r="AH170" s="548"/>
      <c r="AI170" s="445" t="s">
        <v>259</v>
      </c>
      <c r="AJ170" s="55"/>
      <c r="AK170" s="55"/>
      <c r="AL170" s="55"/>
    </row>
    <row r="171" spans="1:38" s="8" customFormat="1" x14ac:dyDescent="0.2">
      <c r="A171" s="38"/>
      <c r="B171" s="38"/>
      <c r="C171" s="38"/>
      <c r="D171" s="118"/>
      <c r="E171" s="118"/>
      <c r="F171" s="38"/>
      <c r="G171" s="38"/>
      <c r="H171" s="38"/>
      <c r="I171" s="38"/>
      <c r="J171" s="38"/>
      <c r="K171" s="38"/>
      <c r="L171" s="38"/>
      <c r="M171" s="38"/>
      <c r="N171" s="38"/>
      <c r="O171" s="38"/>
      <c r="P171" s="38"/>
      <c r="Q171" s="38"/>
      <c r="R171" s="38"/>
      <c r="S171" s="460"/>
      <c r="T171" s="461"/>
      <c r="U171" s="462"/>
      <c r="V171" s="462"/>
      <c r="W171" s="462"/>
      <c r="X171" s="462"/>
      <c r="Y171" s="462"/>
      <c r="Z171" s="462"/>
      <c r="AA171" s="463"/>
      <c r="AB171" s="457"/>
      <c r="AC171" s="180" t="s">
        <v>266</v>
      </c>
      <c r="AD171" s="176">
        <f>$F$42</f>
        <v>90</v>
      </c>
      <c r="AE171" s="176">
        <f>$F$42</f>
        <v>90</v>
      </c>
      <c r="AF171" s="176">
        <f>$F$42</f>
        <v>90</v>
      </c>
      <c r="AG171" s="176">
        <f>$F$42</f>
        <v>90</v>
      </c>
      <c r="AH171" s="38"/>
      <c r="AI171" s="38"/>
      <c r="AJ171" s="38"/>
      <c r="AK171" s="38"/>
      <c r="AL171" s="38"/>
    </row>
    <row r="172" spans="1:38" s="8" customFormat="1" x14ac:dyDescent="0.2">
      <c r="A172" s="38"/>
      <c r="B172" s="38"/>
      <c r="C172" s="38"/>
      <c r="D172" s="118"/>
      <c r="E172" s="118"/>
      <c r="F172" s="38"/>
      <c r="G172" s="38"/>
      <c r="H172" s="38"/>
      <c r="I172" s="38"/>
      <c r="J172" s="38"/>
      <c r="K172" s="38"/>
      <c r="L172" s="38"/>
      <c r="M172" s="38"/>
      <c r="N172" s="38"/>
      <c r="O172" s="38"/>
      <c r="P172" s="38"/>
      <c r="Q172" s="38"/>
      <c r="R172" s="38"/>
      <c r="S172" s="464"/>
      <c r="T172" s="465"/>
      <c r="U172" s="466"/>
      <c r="V172" s="466"/>
      <c r="W172" s="466"/>
      <c r="X172" s="466"/>
      <c r="Y172" s="466"/>
      <c r="Z172" s="466"/>
      <c r="AA172" s="467"/>
      <c r="AB172" s="457"/>
      <c r="AC172" s="180" t="s">
        <v>84</v>
      </c>
      <c r="AD172" s="179">
        <f>AD138</f>
        <v>31.410324329808272</v>
      </c>
      <c r="AE172" s="401">
        <f>AE138</f>
        <v>31.410324329808272</v>
      </c>
      <c r="AF172" s="401">
        <f>AF138</f>
        <v>33.793367428190287</v>
      </c>
      <c r="AG172" s="401">
        <f>AG138</f>
        <v>33.793367428190287</v>
      </c>
      <c r="AH172" s="38"/>
      <c r="AI172" s="38"/>
      <c r="AJ172" s="38"/>
      <c r="AK172" s="38"/>
      <c r="AL172" s="38"/>
    </row>
    <row r="173" spans="1:38" s="8" customFormat="1" ht="12.95" customHeight="1" x14ac:dyDescent="0.2">
      <c r="A173" s="38"/>
      <c r="B173" s="38"/>
      <c r="C173" s="38"/>
      <c r="D173" s="118"/>
      <c r="E173" s="118"/>
      <c r="F173" s="38"/>
      <c r="G173" s="38"/>
      <c r="H173" s="38"/>
      <c r="I173" s="38"/>
      <c r="J173" s="38"/>
      <c r="K173" s="38"/>
      <c r="L173" s="38"/>
      <c r="M173" s="38"/>
      <c r="N173" s="38"/>
      <c r="O173" s="38"/>
      <c r="P173" s="38"/>
      <c r="Q173" s="38"/>
      <c r="R173" s="38"/>
      <c r="S173" s="469"/>
      <c r="T173" s="387" t="s">
        <v>276</v>
      </c>
      <c r="U173" s="494" t="str">
        <f>IF(U118=D118,"",EXP((U105-U72)/100))</f>
        <v/>
      </c>
      <c r="V173" s="494">
        <f>EXP((V105-V72)/100)</f>
        <v>0.99361310856952922</v>
      </c>
      <c r="W173" s="505"/>
      <c r="X173" s="505"/>
      <c r="Y173" s="505"/>
      <c r="Z173" s="505"/>
      <c r="AA173" s="506"/>
      <c r="AB173" s="154"/>
      <c r="AC173" s="180" t="s">
        <v>233</v>
      </c>
      <c r="AD173" s="193">
        <f>EXP(AD268/100)</f>
        <v>1.0183081102851279</v>
      </c>
      <c r="AE173" s="193">
        <f>EXP(AE137/100)</f>
        <v>1.0183081102851279</v>
      </c>
      <c r="AF173" s="193">
        <f>EXP(AF137/100)</f>
        <v>1.0175359154647441</v>
      </c>
      <c r="AG173" s="193">
        <f>EXP(AG137/100)</f>
        <v>1.0175359154647441</v>
      </c>
      <c r="AH173" s="38"/>
      <c r="AI173" s="38"/>
      <c r="AJ173" s="38"/>
      <c r="AK173" s="38"/>
      <c r="AL173" s="38"/>
    </row>
    <row r="174" spans="1:38" s="8" customFormat="1" ht="13.15" customHeight="1" x14ac:dyDescent="0.2">
      <c r="A174" s="38"/>
      <c r="B174" s="38"/>
      <c r="C174" s="38"/>
      <c r="D174" s="425"/>
      <c r="E174" s="425"/>
      <c r="F174" s="38"/>
      <c r="G174" s="38"/>
      <c r="H174" s="38"/>
      <c r="I174" s="38"/>
      <c r="J174" s="38"/>
      <c r="K174" s="38"/>
      <c r="L174" s="38"/>
      <c r="M174" s="38"/>
      <c r="N174" s="38"/>
      <c r="O174" s="38"/>
      <c r="P174" s="38"/>
      <c r="Q174" s="38"/>
      <c r="R174" s="38"/>
      <c r="S174" s="605"/>
      <c r="T174" s="479"/>
      <c r="U174" s="499"/>
      <c r="V174" s="499"/>
      <c r="W174" s="499"/>
      <c r="X174" s="499"/>
      <c r="Y174" s="499"/>
      <c r="Z174" s="499"/>
      <c r="AA174" s="500"/>
      <c r="AB174" s="621" t="s">
        <v>269</v>
      </c>
      <c r="AC174" s="402" t="s">
        <v>9</v>
      </c>
      <c r="AD174" s="194">
        <f>EXP(AD269/100)</f>
        <v>1.0048448734663056</v>
      </c>
      <c r="AE174" s="194">
        <f t="shared" ref="AE174:AG175" si="151">EXP(AE269/100)</f>
        <v>1.0048448734663056</v>
      </c>
      <c r="AF174" s="194">
        <f t="shared" si="151"/>
        <v>1.0068173390841597</v>
      </c>
      <c r="AG174" s="194">
        <f t="shared" si="151"/>
        <v>1.0068173390841597</v>
      </c>
      <c r="AH174" s="38"/>
      <c r="AI174" s="38"/>
      <c r="AJ174" s="38"/>
      <c r="AK174" s="38"/>
      <c r="AL174" s="38"/>
    </row>
    <row r="175" spans="1:38" s="8" customFormat="1" x14ac:dyDescent="0.2">
      <c r="A175" s="38"/>
      <c r="B175" s="38"/>
      <c r="C175" s="38"/>
      <c r="D175" s="425"/>
      <c r="E175" s="425"/>
      <c r="F175" s="38"/>
      <c r="G175" s="38"/>
      <c r="H175" s="38"/>
      <c r="I175" s="38"/>
      <c r="J175" s="38"/>
      <c r="K175" s="38"/>
      <c r="L175" s="38"/>
      <c r="M175" s="38"/>
      <c r="N175" s="38"/>
      <c r="O175" s="38"/>
      <c r="P175" s="38"/>
      <c r="Q175" s="38"/>
      <c r="R175" s="38"/>
      <c r="S175" s="606"/>
      <c r="T175" s="471"/>
      <c r="U175" s="496"/>
      <c r="V175" s="496"/>
      <c r="W175" s="496"/>
      <c r="X175" s="496"/>
      <c r="Y175" s="496"/>
      <c r="Z175" s="496"/>
      <c r="AA175" s="501"/>
      <c r="AB175" s="622"/>
      <c r="AC175" s="403" t="s">
        <v>10</v>
      </c>
      <c r="AD175" s="195">
        <f>EXP(AD270/100)</f>
        <v>1.0319517319080391</v>
      </c>
      <c r="AE175" s="195">
        <f t="shared" si="151"/>
        <v>1.0319517319080391</v>
      </c>
      <c r="AF175" s="195">
        <f t="shared" si="151"/>
        <v>1.0283686017987097</v>
      </c>
      <c r="AG175" s="195">
        <f t="shared" si="151"/>
        <v>1.0283686017987097</v>
      </c>
      <c r="AH175" s="38"/>
      <c r="AI175" s="38"/>
      <c r="AJ175" s="38"/>
      <c r="AK175" s="38"/>
      <c r="AL175" s="38"/>
    </row>
    <row r="176" spans="1:38" s="8" customFormat="1" ht="12.95" customHeight="1" x14ac:dyDescent="0.2">
      <c r="A176" s="38"/>
      <c r="B176" s="38"/>
      <c r="C176" s="38"/>
      <c r="D176" s="118"/>
      <c r="E176" s="118"/>
      <c r="F176" s="38"/>
      <c r="G176" s="38"/>
      <c r="H176" s="38"/>
      <c r="I176" s="38"/>
      <c r="J176" s="38"/>
      <c r="K176" s="38"/>
      <c r="L176" s="38"/>
      <c r="M176" s="38"/>
      <c r="N176" s="38"/>
      <c r="O176" s="38"/>
      <c r="P176" s="38"/>
      <c r="Q176" s="38"/>
      <c r="R176" s="38"/>
      <c r="S176" s="606"/>
      <c r="T176" s="459"/>
      <c r="U176" s="497"/>
      <c r="V176" s="497"/>
      <c r="W176" s="497"/>
      <c r="X176" s="497"/>
      <c r="Y176" s="497"/>
      <c r="Z176" s="497"/>
      <c r="AA176" s="502"/>
      <c r="AB176" s="468"/>
      <c r="AC176" s="186" t="s">
        <v>251</v>
      </c>
      <c r="AD176" s="196">
        <f>SQRT(AD175/AD174)</f>
        <v>1.0133983236361448</v>
      </c>
      <c r="AE176" s="196">
        <f>SQRT(AE175/AE174)</f>
        <v>1.0133983236361448</v>
      </c>
      <c r="AF176" s="196">
        <f>SQRT(AF175/AF174)</f>
        <v>1.0106459989955421</v>
      </c>
      <c r="AG176" s="196">
        <f>SQRT(AG175/AG174)</f>
        <v>1.0106459989955421</v>
      </c>
      <c r="AH176" s="38"/>
      <c r="AI176" s="38"/>
      <c r="AJ176" s="38"/>
      <c r="AK176" s="38"/>
      <c r="AL176" s="38"/>
    </row>
    <row r="177" spans="1:38" s="407" customFormat="1" ht="13.15" customHeight="1" x14ac:dyDescent="0.2">
      <c r="A177" s="21"/>
      <c r="B177" s="21"/>
      <c r="C177" s="21"/>
      <c r="D177" s="199"/>
      <c r="E177" s="199"/>
      <c r="F177" s="21"/>
      <c r="G177" s="21"/>
      <c r="H177" s="21"/>
      <c r="I177" s="21"/>
      <c r="J177" s="21"/>
      <c r="K177" s="21"/>
      <c r="L177" s="21"/>
      <c r="M177" s="21"/>
      <c r="N177" s="21"/>
      <c r="O177" s="21"/>
      <c r="P177" s="21"/>
      <c r="Q177" s="21"/>
      <c r="R177" s="21"/>
      <c r="S177" s="593"/>
      <c r="T177" s="472"/>
      <c r="U177" s="498"/>
      <c r="V177" s="498"/>
      <c r="W177" s="498"/>
      <c r="X177" s="498"/>
      <c r="Y177" s="498"/>
      <c r="Z177" s="498"/>
      <c r="AA177" s="504"/>
      <c r="AB177" s="594" t="s">
        <v>271</v>
      </c>
      <c r="AC177" s="404" t="str">
        <f>"&gt; or "&amp;IF($C$38&gt;1,"harmful","beneficial")</f>
        <v>&gt; or beneficial</v>
      </c>
      <c r="AD177" s="406" t="str">
        <f>IF(ISBLANK($C$38),"",MAX($C$38,$D$38))</f>
        <v/>
      </c>
      <c r="AE177" s="406" t="str">
        <f>IF(ISBLANK($C$38),"",MAX($C$38,$D$38))</f>
        <v/>
      </c>
      <c r="AF177" s="406" t="str">
        <f>IF(ISBLANK($C$38),"",MAX($C$38,$D$38))</f>
        <v/>
      </c>
      <c r="AG177" s="406" t="str">
        <f>IF(ISBLANK($C$38),"",MAX($C$38,$D$38))</f>
        <v/>
      </c>
      <c r="AH177" s="21"/>
      <c r="AI177" s="21"/>
      <c r="AJ177" s="21"/>
      <c r="AK177" s="21"/>
      <c r="AL177" s="21"/>
    </row>
    <row r="178" spans="1:38" s="407" customFormat="1" ht="12.95" customHeight="1" x14ac:dyDescent="0.2">
      <c r="A178" s="21"/>
      <c r="B178" s="21"/>
      <c r="C178" s="21"/>
      <c r="D178" s="200"/>
      <c r="E178" s="200"/>
      <c r="F178" s="21"/>
      <c r="G178" s="21"/>
      <c r="H178" s="21"/>
      <c r="I178" s="21"/>
      <c r="J178" s="21"/>
      <c r="K178" s="21"/>
      <c r="L178" s="21"/>
      <c r="M178" s="21"/>
      <c r="N178" s="21"/>
      <c r="O178" s="21"/>
      <c r="P178" s="21"/>
      <c r="Q178" s="21"/>
      <c r="R178" s="21"/>
      <c r="S178" s="593"/>
      <c r="T178" s="473"/>
      <c r="U178" s="498"/>
      <c r="V178" s="498"/>
      <c r="W178" s="498"/>
      <c r="X178" s="498"/>
      <c r="Y178" s="498"/>
      <c r="Z178" s="498"/>
      <c r="AA178" s="504"/>
      <c r="AB178" s="586"/>
      <c r="AC178" s="408" t="str">
        <f>"&lt; or "&amp;IF($C$38&lt;1,"harmful","beneficial")</f>
        <v>&lt; or harmful</v>
      </c>
      <c r="AD178" s="406" t="str">
        <f>IF(ISBLANK($C$38),"",MIN($C$38,$D$38))</f>
        <v/>
      </c>
      <c r="AE178" s="406" t="str">
        <f>IF(ISBLANK($C$38),"",MIN($C$38,$D$38))</f>
        <v/>
      </c>
      <c r="AF178" s="406" t="str">
        <f>IF(ISBLANK($C$38),"",MIN($C$38,$D$38))</f>
        <v/>
      </c>
      <c r="AG178" s="406" t="str">
        <f>IF(ISBLANK($C$38),"",MIN($C$38,$D$38))</f>
        <v/>
      </c>
      <c r="AH178" s="21"/>
      <c r="AI178" s="21"/>
      <c r="AJ178" s="21"/>
      <c r="AK178" s="21"/>
      <c r="AL178" s="21"/>
    </row>
    <row r="179" spans="1:38" s="407" customFormat="1" ht="12.95" customHeight="1" x14ac:dyDescent="0.2">
      <c r="A179" s="21"/>
      <c r="B179" s="21"/>
      <c r="C179" s="21"/>
      <c r="D179" s="426"/>
      <c r="E179" s="426"/>
      <c r="F179" s="21"/>
      <c r="G179" s="21"/>
      <c r="H179" s="21"/>
      <c r="I179" s="21"/>
      <c r="J179" s="21"/>
      <c r="K179" s="21"/>
      <c r="L179" s="21"/>
      <c r="M179" s="21"/>
      <c r="N179" s="21"/>
      <c r="O179" s="21"/>
      <c r="P179" s="21"/>
      <c r="Q179" s="21"/>
      <c r="R179" s="21"/>
      <c r="S179" s="593"/>
      <c r="T179" s="591"/>
      <c r="U179" s="474"/>
      <c r="V179" s="474"/>
      <c r="W179" s="474"/>
      <c r="X179" s="474"/>
      <c r="Y179" s="474"/>
      <c r="Z179" s="474"/>
      <c r="AA179" s="480"/>
      <c r="AB179" s="594" t="s">
        <v>156</v>
      </c>
      <c r="AC179" s="597" t="str">
        <f>"a substantial increase (&gt;) or "&amp;IF($C$38&gt;1,"harmful","beneficial")</f>
        <v>a substantial increase (&gt;) or beneficial</v>
      </c>
      <c r="AD179" s="545" t="e">
        <f>IF(ISERROR(TDIST((100*LN(AD177)-AD$137)/AD$139,AD172,1)),1-TDIST((AD$137-100*LN(AD177))/AD$139,AD172,1),TDIST((100*LN(AD177)-AD$137)/AD$139,AD172,1))*100</f>
        <v>#VALUE!</v>
      </c>
      <c r="AE179" s="545" t="e">
        <f>IF(ISERROR(TDIST((100*LN(AE177)-AE$137)/AE$139,AE172,1)),1-TDIST((AE$137-100*LN(AE177))/AE$139,AE172,1),TDIST((100*LN(AE177)-AE$137)/AE$139,AE172,1))*100</f>
        <v>#VALUE!</v>
      </c>
      <c r="AF179" s="545" t="e">
        <f>IF(ISERROR(TDIST((100*LN(AF177)-AF$137)/AF$139,AF172,1)),1-TDIST((AF$137-100*LN(AF177))/AF$139,AF172,1),TDIST((100*LN(AF177)-AF$137)/AF$139,AF172,1))*100</f>
        <v>#VALUE!</v>
      </c>
      <c r="AG179" s="545" t="e">
        <f>IF(ISERROR(TDIST((100*LN(AG177)-AG$137)/AG$139,AG172,1)),1-TDIST((AG$137-100*LN(AG177))/AG$139,AG172,1),TDIST((100*LN(AG177)-AG$137)/AG$139,AG172,1))*100</f>
        <v>#VALUE!</v>
      </c>
      <c r="AH179" s="21"/>
      <c r="AI179" s="21"/>
      <c r="AJ179" s="21"/>
      <c r="AK179" s="21"/>
      <c r="AL179" s="21"/>
    </row>
    <row r="180" spans="1:38" s="407" customFormat="1" ht="30.95" customHeight="1" x14ac:dyDescent="0.2">
      <c r="A180" s="21"/>
      <c r="B180" s="21"/>
      <c r="C180" s="21"/>
      <c r="D180" s="201"/>
      <c r="E180" s="201"/>
      <c r="F180" s="21"/>
      <c r="G180" s="21"/>
      <c r="H180" s="21"/>
      <c r="I180" s="21"/>
      <c r="J180" s="21"/>
      <c r="K180" s="21"/>
      <c r="L180" s="21"/>
      <c r="M180" s="21"/>
      <c r="N180" s="21"/>
      <c r="O180" s="21"/>
      <c r="P180" s="21"/>
      <c r="Q180" s="21" t="s">
        <v>236</v>
      </c>
      <c r="R180" s="21"/>
      <c r="S180" s="593"/>
      <c r="T180" s="592"/>
      <c r="U180" s="475"/>
      <c r="V180" s="475"/>
      <c r="W180" s="475"/>
      <c r="X180" s="475"/>
      <c r="Y180" s="475"/>
      <c r="Z180" s="475"/>
      <c r="AA180" s="481"/>
      <c r="AB180" s="585"/>
      <c r="AC180" s="598"/>
      <c r="AD180" s="409" t="e">
        <f>IF(AD179&lt;0.5,"most unlikely",IF(AD179&lt;5,"very unlikely",IF(AD179&lt;25,"unlikely",IF(AD179&lt;75,"possibly",IF(AD179&lt;95,"likely",IF(AD179&lt;99.5,"very likely","most likely"))))))</f>
        <v>#VALUE!</v>
      </c>
      <c r="AE180" s="409" t="e">
        <f>IF(AE179&lt;0.5,"most unlikely",IF(AE179&lt;5,"very unlikely",IF(AE179&lt;25,"unlikely",IF(AE179&lt;75,"possibly",IF(AE179&lt;95,"likely",IF(AE179&lt;99.5,"very likely","most likely"))))))</f>
        <v>#VALUE!</v>
      </c>
      <c r="AF180" s="409" t="e">
        <f>IF(AF179&lt;0.5,"most unlikely",IF(AF179&lt;5,"very unlikely",IF(AF179&lt;25,"unlikely",IF(AF179&lt;75,"possibly",IF(AF179&lt;95,"likely",IF(AF179&lt;99.5,"very likely","most likely"))))))</f>
        <v>#VALUE!</v>
      </c>
      <c r="AG180" s="409" t="e">
        <f>IF(AG179&lt;0.5,"most unlikely",IF(AG179&lt;5,"very unlikely",IF(AG179&lt;25,"unlikely",IF(AG179&lt;75,"possibly",IF(AG179&lt;95,"likely",IF(AG179&lt;99.5,"very likely","most likely"))))))</f>
        <v>#VALUE!</v>
      </c>
      <c r="AH180" s="21"/>
      <c r="AI180" s="21"/>
      <c r="AJ180" s="21"/>
      <c r="AK180" s="21"/>
      <c r="AL180" s="21"/>
    </row>
    <row r="181" spans="1:38" s="407" customFormat="1" ht="12.95" customHeight="1" x14ac:dyDescent="0.2">
      <c r="A181" s="21"/>
      <c r="B181" s="21"/>
      <c r="C181" s="21"/>
      <c r="D181" s="21"/>
      <c r="E181" s="21"/>
      <c r="F181" s="21"/>
      <c r="G181" s="21"/>
      <c r="H181" s="21"/>
      <c r="I181" s="21"/>
      <c r="J181" s="21"/>
      <c r="K181" s="21"/>
      <c r="L181" s="21"/>
      <c r="M181" s="21"/>
      <c r="N181" s="21"/>
      <c r="O181" s="21"/>
      <c r="P181" s="21"/>
      <c r="Q181" s="21" t="s">
        <v>235</v>
      </c>
      <c r="R181" s="21"/>
      <c r="S181" s="593"/>
      <c r="T181" s="607"/>
      <c r="U181" s="474"/>
      <c r="V181" s="474"/>
      <c r="W181" s="474"/>
      <c r="X181" s="474"/>
      <c r="Y181" s="474"/>
      <c r="Z181" s="474"/>
      <c r="AA181" s="480"/>
      <c r="AB181" s="585"/>
      <c r="AC181" s="599" t="s">
        <v>12</v>
      </c>
      <c r="AD181" s="545" t="e">
        <f>100-AD179-AD183</f>
        <v>#VALUE!</v>
      </c>
      <c r="AE181" s="545" t="e">
        <f>100-AE179-AE183</f>
        <v>#VALUE!</v>
      </c>
      <c r="AF181" s="545" t="e">
        <f>100-AF179-AF183</f>
        <v>#VALUE!</v>
      </c>
      <c r="AG181" s="545" t="e">
        <f>100-AG179-AG183</f>
        <v>#VALUE!</v>
      </c>
      <c r="AH181" s="21"/>
      <c r="AI181" s="21"/>
      <c r="AJ181" s="21"/>
      <c r="AK181" s="21"/>
      <c r="AL181" s="21"/>
    </row>
    <row r="182" spans="1:38" s="407" customFormat="1" ht="30.95" customHeight="1" x14ac:dyDescent="0.2">
      <c r="A182" s="21"/>
      <c r="B182" s="21"/>
      <c r="C182" s="21"/>
      <c r="D182" s="21"/>
      <c r="E182" s="21"/>
      <c r="F182" s="21"/>
      <c r="G182" s="21"/>
      <c r="H182" s="21"/>
      <c r="I182" s="21"/>
      <c r="J182" s="21"/>
      <c r="K182" s="21"/>
      <c r="L182" s="21"/>
      <c r="M182" s="21"/>
      <c r="N182" s="21"/>
      <c r="O182" s="21"/>
      <c r="P182" s="21"/>
      <c r="Q182" s="21"/>
      <c r="R182" s="21"/>
      <c r="S182" s="593"/>
      <c r="T182" s="607"/>
      <c r="U182" s="475"/>
      <c r="V182" s="475"/>
      <c r="W182" s="475"/>
      <c r="X182" s="475"/>
      <c r="Y182" s="475"/>
      <c r="Z182" s="475"/>
      <c r="AA182" s="481"/>
      <c r="AB182" s="585"/>
      <c r="AC182" s="600"/>
      <c r="AD182" s="409" t="e">
        <f>IF(AD181&lt;0.5,"most unlikely",IF(AD181&lt;5,"very unlikely",IF(AD181&lt;25,"unlikely",IF(AD181&lt;75,"possibly",IF(AD181&lt;95,"likely",IF(AD181&lt;99.5,"very likely","most likely"))))))</f>
        <v>#VALUE!</v>
      </c>
      <c r="AE182" s="409" t="e">
        <f>IF(AE181&lt;0.5,"most unlikely",IF(AE181&lt;5,"very unlikely",IF(AE181&lt;25,"unlikely",IF(AE181&lt;75,"possibly",IF(AE181&lt;95,"likely",IF(AE181&lt;99.5,"very likely","most likely"))))))</f>
        <v>#VALUE!</v>
      </c>
      <c r="AF182" s="409" t="e">
        <f>IF(AF181&lt;0.5,"most unlikely",IF(AF181&lt;5,"very unlikely",IF(AF181&lt;25,"unlikely",IF(AF181&lt;75,"possibly",IF(AF181&lt;95,"likely",IF(AF181&lt;99.5,"very likely","most likely"))))))</f>
        <v>#VALUE!</v>
      </c>
      <c r="AG182" s="409" t="e">
        <f>IF(AG181&lt;0.5,"most unlikely",IF(AG181&lt;5,"very unlikely",IF(AG181&lt;25,"unlikely",IF(AG181&lt;75,"possibly",IF(AG181&lt;95,"likely",IF(AG181&lt;99.5,"very likely","most likely"))))))</f>
        <v>#VALUE!</v>
      </c>
      <c r="AH182" s="21"/>
      <c r="AI182" s="21"/>
      <c r="AJ182" s="21"/>
      <c r="AK182" s="21"/>
      <c r="AL182" s="21"/>
    </row>
    <row r="183" spans="1:38" s="407" customFormat="1" ht="12.95" customHeight="1" x14ac:dyDescent="0.2">
      <c r="A183" s="21"/>
      <c r="B183" s="21"/>
      <c r="C183" s="21"/>
      <c r="D183" s="21"/>
      <c r="E183" s="21"/>
      <c r="F183" s="21"/>
      <c r="G183" s="21"/>
      <c r="H183" s="21"/>
      <c r="I183" s="21"/>
      <c r="J183" s="21"/>
      <c r="K183" s="21"/>
      <c r="L183" s="21"/>
      <c r="M183" s="21"/>
      <c r="N183" s="21"/>
      <c r="O183" s="21"/>
      <c r="P183" s="21"/>
      <c r="Q183" s="21"/>
      <c r="R183" s="21"/>
      <c r="S183" s="593"/>
      <c r="T183" s="608"/>
      <c r="U183" s="474"/>
      <c r="V183" s="474"/>
      <c r="W183" s="474"/>
      <c r="X183" s="474"/>
      <c r="Y183" s="474"/>
      <c r="Z183" s="474"/>
      <c r="AA183" s="480"/>
      <c r="AB183" s="585"/>
      <c r="AC183" s="603" t="str">
        <f>"a substantial decrease (&lt;) or "&amp;IF($C$38&lt;1,"harmful","beneficial")</f>
        <v>a substantial decrease (&lt;) or harmful</v>
      </c>
      <c r="AD183" s="545" t="e">
        <f>IF(ISERROR(TDIST((100*LN(AD178)-AD$137)/AD$139,AD172,1)),TDIST((AD$137-100*LN(AD178))/AD$139,AD172,1),1-TDIST((100*LN(AD178)-AD$137)/AD$139,AD172,1))*100</f>
        <v>#VALUE!</v>
      </c>
      <c r="AE183" s="545" t="e">
        <f>IF(ISERROR(TDIST((100*LN(AE178)-AE$137)/AE$139,AE172,1)),TDIST((AE$137-100*LN(AE178))/AE$139,AE172,1),1-TDIST((100*LN(AE178)-AE$137)/AE$139,AE172,1))*100</f>
        <v>#VALUE!</v>
      </c>
      <c r="AF183" s="545" t="e">
        <f>IF(ISERROR(TDIST((100*LN(AF178)-AF$137)/AF$139,AF172,1)),TDIST((AF$137-100*LN(AF178))/AF$139,AF172,1),1-TDIST((100*LN(AF178)-AF$137)/AF$139,AF172,1))*100</f>
        <v>#VALUE!</v>
      </c>
      <c r="AG183" s="545" t="e">
        <f>IF(ISERROR(TDIST((100*LN(AG178)-AG$137)/AG$139,AG172,1)),TDIST((AG$137-100*LN(AG178))/AG$139,AG172,1),1-TDIST((100*LN(AG178)-AG$137)/AG$139,AG172,1))*100</f>
        <v>#VALUE!</v>
      </c>
      <c r="AH183" s="21"/>
      <c r="AI183" s="21"/>
      <c r="AJ183" s="21"/>
      <c r="AK183" s="21"/>
      <c r="AL183" s="21"/>
    </row>
    <row r="184" spans="1:38" s="407" customFormat="1" ht="30.95" customHeight="1" x14ac:dyDescent="0.2">
      <c r="A184" s="21"/>
      <c r="B184" s="21"/>
      <c r="C184" s="21"/>
      <c r="D184" s="21"/>
      <c r="E184" s="21"/>
      <c r="F184" s="21"/>
      <c r="G184" s="21"/>
      <c r="H184" s="21"/>
      <c r="I184" s="21"/>
      <c r="J184" s="21"/>
      <c r="K184" s="21"/>
      <c r="L184" s="21"/>
      <c r="M184" s="21"/>
      <c r="N184" s="21"/>
      <c r="O184" s="21"/>
      <c r="P184" s="21"/>
      <c r="Q184" s="21"/>
      <c r="R184" s="21"/>
      <c r="S184" s="593"/>
      <c r="T184" s="609"/>
      <c r="U184" s="475"/>
      <c r="V184" s="475"/>
      <c r="W184" s="475"/>
      <c r="X184" s="475"/>
      <c r="Y184" s="475"/>
      <c r="Z184" s="475"/>
      <c r="AA184" s="481"/>
      <c r="AB184" s="585"/>
      <c r="AC184" s="604"/>
      <c r="AD184" s="409" t="e">
        <f>IF(AD183&lt;0.5,"most unlikely",IF(AD183&lt;5,"very unlikely",IF(AD183&lt;25,"unlikely",IF(AD183&lt;75,"possibly",IF(AD183&lt;95,"likely",IF(AD183&lt;99.5,"very likely","most likely"))))))</f>
        <v>#VALUE!</v>
      </c>
      <c r="AE184" s="409" t="e">
        <f>IF(AE183&lt;0.5,"most unlikely",IF(AE183&lt;5,"very unlikely",IF(AE183&lt;25,"unlikely",IF(AE183&lt;75,"possibly",IF(AE183&lt;95,"likely",IF(AE183&lt;99.5,"very likely","most likely"))))))</f>
        <v>#VALUE!</v>
      </c>
      <c r="AF184" s="409" t="e">
        <f>IF(AF183&lt;0.5,"most unlikely",IF(AF183&lt;5,"very unlikely",IF(AF183&lt;25,"unlikely",IF(AF183&lt;75,"possibly",IF(AF183&lt;95,"likely",IF(AF183&lt;99.5,"very likely","most likely"))))))</f>
        <v>#VALUE!</v>
      </c>
      <c r="AG184" s="409" t="e">
        <f>IF(AG183&lt;0.5,"most unlikely",IF(AG183&lt;5,"very unlikely",IF(AG183&lt;25,"unlikely",IF(AG183&lt;75,"possibly",IF(AG183&lt;95,"likely",IF(AG183&lt;99.5,"very likely","most likely"))))))</f>
        <v>#VALUE!</v>
      </c>
      <c r="AH184" s="38" t="s">
        <v>261</v>
      </c>
      <c r="AI184" s="21"/>
      <c r="AJ184" s="21"/>
      <c r="AK184" s="21"/>
      <c r="AL184" s="21"/>
    </row>
    <row r="185" spans="1:38" s="407" customFormat="1" ht="35.1" customHeight="1" x14ac:dyDescent="0.2">
      <c r="A185" s="21"/>
      <c r="B185" s="21"/>
      <c r="C185" s="21"/>
      <c r="D185" s="21"/>
      <c r="E185" s="21"/>
      <c r="F185" s="21"/>
      <c r="G185" s="21"/>
      <c r="H185" s="21"/>
      <c r="I185" s="21"/>
      <c r="J185" s="21"/>
      <c r="K185" s="21"/>
      <c r="L185" s="21"/>
      <c r="M185" s="21"/>
      <c r="N185" s="21"/>
      <c r="O185" s="21"/>
      <c r="P185" s="21"/>
      <c r="Q185" s="21"/>
      <c r="R185" s="21"/>
      <c r="S185" s="581"/>
      <c r="T185" s="582"/>
      <c r="U185" s="476"/>
      <c r="V185" s="476"/>
      <c r="W185" s="476"/>
      <c r="X185" s="476"/>
      <c r="Y185" s="476"/>
      <c r="Z185" s="476"/>
      <c r="AA185" s="482"/>
      <c r="AB185" s="580" t="str">
        <f>"Non-clinical  decision, based on threshold chances of "&amp;$F$44&amp;"% for substantial magnitudes"</f>
        <v>Non-clinical  decision, based on threshold chances of 5% for substantial magnitudes</v>
      </c>
      <c r="AC185" s="571"/>
      <c r="AD185" s="399" t="e">
        <f>IF(MIN(AD179,AD183)&gt;$F$44,"unclear; get more data",IF(AD179&gt;25,AD180&amp;" +ive",IF(AD183&gt;25,AD184&amp;" –ive",AD182&amp;" trivial")))</f>
        <v>#VALUE!</v>
      </c>
      <c r="AE185" s="399" t="e">
        <f t="shared" ref="AE185" si="152">IF(MIN(AE179,AE183)&gt;$F$44,"unclear; get more data",IF(AE179&gt;25,AE180&amp;" +ive",IF(AE183&gt;25,AE184&amp;" –ive",AE182&amp;" trivial")))</f>
        <v>#VALUE!</v>
      </c>
      <c r="AF185" s="399" t="e">
        <f t="shared" ref="AF185" si="153">IF(MIN(AF179,AF183)&gt;$F$44,"unclear; get more data",IF(AF179&gt;25,AF180&amp;" +ive",IF(AF183&gt;25,AF184&amp;" –ive",AF182&amp;" trivial")))</f>
        <v>#VALUE!</v>
      </c>
      <c r="AG185" s="399" t="e">
        <f t="shared" ref="AG185" si="154">IF(MIN(AG179,AG183)&gt;$F$44,"unclear; get more data",IF(AG179&gt;25,AG180&amp;" +ive",IF(AG183&gt;25,AG184&amp;" –ive",AG182&amp;" trivial")))</f>
        <v>#VALUE!</v>
      </c>
      <c r="AH185" s="548" t="s">
        <v>264</v>
      </c>
      <c r="AI185" s="549"/>
      <c r="AJ185" s="549"/>
      <c r="AK185" s="549"/>
      <c r="AL185" s="549"/>
    </row>
    <row r="186" spans="1:38" s="407" customFormat="1" ht="35.1" customHeight="1" x14ac:dyDescent="0.2">
      <c r="A186" s="21"/>
      <c r="B186" s="21"/>
      <c r="C186" s="21"/>
      <c r="D186" s="21"/>
      <c r="E186" s="21"/>
      <c r="F186" s="21"/>
      <c r="G186" s="21"/>
      <c r="H186" s="21"/>
      <c r="I186" s="21"/>
      <c r="J186" s="21"/>
      <c r="K186" s="21"/>
      <c r="L186" s="21"/>
      <c r="M186" s="21"/>
      <c r="N186" s="21"/>
      <c r="O186" s="21"/>
      <c r="P186" s="21"/>
      <c r="Q186" s="21"/>
      <c r="R186" s="21"/>
      <c r="S186" s="581"/>
      <c r="T186" s="582"/>
      <c r="U186" s="477"/>
      <c r="V186" s="477"/>
      <c r="W186" s="477"/>
      <c r="X186" s="477"/>
      <c r="Y186" s="477"/>
      <c r="Z186" s="477"/>
      <c r="AA186" s="483"/>
      <c r="AB186" s="580" t="str">
        <f>"Clinical decision, based on threshold chances of harm and benefit of "&amp;$F$45&amp;"% and "&amp;$F$46&amp;"%"</f>
        <v>Clinical decision, based on threshold chances of harm and benefit of 0.5% and 25%</v>
      </c>
      <c r="AC186" s="571"/>
      <c r="AD186" s="399" t="e">
        <f>IF($C$38&gt;1,IF(AD183&gt;$F$46,IF(AD179&lt;$F$45,AD184&amp;" beneficial","unclear; get more data"),IF(AD179&gt;25,AD180&amp;" harmful",AD182&amp;" trivial")),IF(AD179&gt;$F$46,IF(AD183&lt;$F$45,AD180&amp;" beneficial","unclear; get more data"),IF(AD183&gt;25,AD184&amp;" harmful",AD182&amp;" trivial")))</f>
        <v>#VALUE!</v>
      </c>
      <c r="AE186" s="399" t="e">
        <f>IF($C$38&gt;1,IF(AE183&gt;$F$46,IF(AE179&lt;$F$45,AE184&amp;" beneficial","unclear; get more data"),IF(AE179&gt;25,AE180&amp;" harmful",AE182&amp;" trivial")),IF(AE179&gt;$F$46,IF(AE183&lt;$F$45,AE180&amp;" beneficial","unclear; get more data"),IF(AE183&gt;25,AE184&amp;" harmful",AE182&amp;" trivial")))</f>
        <v>#VALUE!</v>
      </c>
      <c r="AF186" s="399" t="e">
        <f>IF($C$38&gt;1,IF(AF183&gt;$F$46,IF(AF179&lt;$F$45,AF184&amp;" beneficial","unclear; get more data"),IF(AF179&gt;25,AF180&amp;" harmful",AF182&amp;" trivial")),IF(AF179&gt;$F$46,IF(AF183&lt;$F$45,AF180&amp;" beneficial","unclear; get more data"),IF(AF183&gt;25,AF184&amp;" harmful",AF182&amp;" trivial")))</f>
        <v>#VALUE!</v>
      </c>
      <c r="AG186" s="399" t="e">
        <f>IF($C$38&gt;1,IF(AG183&gt;$F$46,IF(AG179&lt;$F$45,AG184&amp;" beneficial","unclear; get more data"),IF(AG179&gt;25,AG180&amp;" harmful",AG182&amp;" trivial")),IF(AG179&gt;$F$46,IF(AG183&lt;$F$45,AG180&amp;" beneficial","unclear; get more data"),IF(AG183&gt;25,AG184&amp;" harmful",AG182&amp;" trivial")))</f>
        <v>#VALUE!</v>
      </c>
      <c r="AH186" s="38"/>
      <c r="AI186" s="21"/>
      <c r="AJ186" s="21"/>
      <c r="AK186" s="21"/>
      <c r="AL186" s="21"/>
    </row>
    <row r="187" spans="1:38" s="407" customFormat="1" ht="12.95" customHeight="1" x14ac:dyDescent="0.2">
      <c r="A187" s="21"/>
      <c r="B187" s="21"/>
      <c r="C187" s="21"/>
      <c r="D187" s="21"/>
      <c r="E187" s="21"/>
      <c r="F187" s="21"/>
      <c r="G187" s="21"/>
      <c r="H187" s="21"/>
      <c r="I187" s="21"/>
      <c r="J187" s="21"/>
      <c r="K187" s="21"/>
      <c r="L187" s="21"/>
      <c r="M187" s="21"/>
      <c r="N187" s="21"/>
      <c r="O187" s="21"/>
      <c r="P187" s="21"/>
      <c r="Q187" s="21"/>
      <c r="R187" s="21"/>
      <c r="S187" s="581"/>
      <c r="T187" s="582"/>
      <c r="U187" s="478"/>
      <c r="V187" s="478"/>
      <c r="W187" s="478"/>
      <c r="X187" s="478"/>
      <c r="Y187" s="478"/>
      <c r="Z187" s="478"/>
      <c r="AA187" s="484"/>
      <c r="AB187" s="580" t="s">
        <v>105</v>
      </c>
      <c r="AC187" s="571"/>
      <c r="AD187" s="411" t="e">
        <f>IF($C$38&gt;1,AD183/(100-AD183)/(AD179/(100-AD179)),AD179/(100-AD179)/(AD183/(100-AD183)))</f>
        <v>#VALUE!</v>
      </c>
      <c r="AE187" s="411" t="e">
        <f>IF($C$38&gt;1,AE183/(100-AE183)/(AE179/(100-AE179)),AE179/(100-AE179)/(AE183/(100-AE183)))</f>
        <v>#VALUE!</v>
      </c>
      <c r="AF187" s="411" t="e">
        <f>IF($C$38&gt;1,AF183/(100-AF183)/(AF179/(100-AF179)),AF179/(100-AF179)/(AF183/(100-AF183)))</f>
        <v>#VALUE!</v>
      </c>
      <c r="AG187" s="411" t="e">
        <f>IF($C$38&gt;1,AG183/(100-AG183)/(AG179/(100-AG179)),AG179/(100-AG179)/(AG183/(100-AG183)))</f>
        <v>#VALUE!</v>
      </c>
      <c r="AH187" s="21"/>
      <c r="AI187" s="21"/>
      <c r="AJ187" s="21"/>
      <c r="AK187" s="21"/>
      <c r="AL187" s="21"/>
    </row>
    <row r="188" spans="1:38" s="407" customFormat="1" ht="35.1" customHeight="1" x14ac:dyDescent="0.2">
      <c r="A188" s="21"/>
      <c r="B188" s="21"/>
      <c r="C188" s="21"/>
      <c r="D188" s="21"/>
      <c r="E188" s="21"/>
      <c r="F188" s="21"/>
      <c r="G188" s="21"/>
      <c r="H188" s="21"/>
      <c r="I188" s="21"/>
      <c r="J188" s="21"/>
      <c r="K188" s="21"/>
      <c r="L188" s="21"/>
      <c r="M188" s="21"/>
      <c r="N188" s="21"/>
      <c r="O188" s="21"/>
      <c r="P188" s="21"/>
      <c r="Q188" s="21"/>
      <c r="R188" s="21"/>
      <c r="S188" s="581"/>
      <c r="T188" s="582"/>
      <c r="U188" s="477"/>
      <c r="V188" s="477"/>
      <c r="W188" s="477"/>
      <c r="X188" s="477"/>
      <c r="Y188" s="477"/>
      <c r="Z188" s="477"/>
      <c r="AA188" s="483"/>
      <c r="AB188" s="580" t="str">
        <f>"Clinical decision as above, but declaring beneficial when odds ratio of benefit/harm is &gt;"&amp;$F$47</f>
        <v>Clinical decision as above, but declaring beneficial when odds ratio of benefit/harm is &gt;66</v>
      </c>
      <c r="AC188" s="571"/>
      <c r="AD188" s="399" t="e">
        <f>IF(AD187&gt;$F$47,IF($C$38&gt;1,AD184,AD180)&amp;" beneficial",IF($C$38&gt;1,IF(AD183&gt;$F$46,IF(AD179&lt;$F$45,AD184&amp;" beneficial","unclear; get more data"),IF(AD179&gt;25,AD180&amp;" harmful",AD182&amp;" trivial")),IF(AD179&gt;$F$46,IF(AD183&lt;$F$45,AD180&amp;" beneficial","unclear; get more data"),IF(AD183&gt;25,AD184&amp;" harmful",AD182&amp;" trivial"))))</f>
        <v>#VALUE!</v>
      </c>
      <c r="AE188" s="399" t="e">
        <f>IF(AE187&gt;$F$47,IF($C$38&gt;1,AE184,AE180)&amp;" beneficial",IF($C$38&gt;1,IF(AE183&gt;$F$46,IF(AE179&lt;$F$45,AE184&amp;" beneficial","unclear; get more data"),IF(AE179&gt;25,AE180&amp;" harmful",AE182&amp;" trivial")),IF(AE179&gt;$F$46,IF(AE183&lt;$F$45,AE180&amp;" beneficial","unclear; get more data"),IF(AE183&gt;25,AE184&amp;" harmful",AE182&amp;" trivial"))))</f>
        <v>#VALUE!</v>
      </c>
      <c r="AF188" s="399" t="e">
        <f>IF(AF187&gt;$F$47,IF($C$38&gt;1,AF184,AF180)&amp;" beneficial",IF($C$38&gt;1,IF(AF183&gt;$F$46,IF(AF179&lt;$F$45,AF184&amp;" beneficial","unclear; get more data"),IF(AF179&gt;25,AF180&amp;" harmful",AF182&amp;" trivial")),IF(AF179&gt;$F$46,IF(AF183&lt;$F$45,AF180&amp;" beneficial","unclear; get more data"),IF(AF183&gt;25,AF184&amp;" harmful",AF182&amp;" trivial"))))</f>
        <v>#VALUE!</v>
      </c>
      <c r="AG188" s="399" t="e">
        <f>IF(AG187&gt;$F$47,IF($C$38&gt;1,AG184,AG180)&amp;" beneficial",IF($C$38&gt;1,IF(AG183&gt;$F$46,IF(AG179&lt;$F$45,AG184&amp;" beneficial","unclear; get more data"),IF(AG179&gt;25,AG180&amp;" harmful",AG182&amp;" trivial")),IF(AG179&gt;$F$46,IF(AG183&lt;$F$45,AG180&amp;" beneficial","unclear; get more data"),IF(AG183&gt;25,AG184&amp;" harmful",AG182&amp;" trivial"))))</f>
        <v>#VALUE!</v>
      </c>
      <c r="AH188" s="21"/>
      <c r="AI188" s="21"/>
      <c r="AJ188" s="21"/>
      <c r="AK188" s="21"/>
      <c r="AL188" s="21"/>
    </row>
    <row r="189" spans="1:38" s="407" customFormat="1" ht="12" x14ac:dyDescent="0.2">
      <c r="A189" s="21"/>
      <c r="B189" s="21"/>
      <c r="C189" s="21"/>
      <c r="D189" s="21"/>
      <c r="E189" s="21"/>
      <c r="F189" s="21"/>
      <c r="G189" s="21"/>
      <c r="H189" s="21"/>
      <c r="I189" s="21"/>
      <c r="J189" s="21"/>
      <c r="K189" s="21"/>
      <c r="L189" s="21"/>
      <c r="M189" s="21"/>
      <c r="N189" s="21"/>
      <c r="O189" s="21"/>
      <c r="P189" s="21"/>
      <c r="Q189" s="21"/>
      <c r="R189" s="21"/>
      <c r="S189" s="485"/>
      <c r="T189" s="486"/>
      <c r="U189" s="486"/>
      <c r="V189" s="486"/>
      <c r="W189" s="486"/>
      <c r="X189" s="486"/>
      <c r="Y189" s="486"/>
      <c r="Z189" s="486"/>
      <c r="AA189" s="487"/>
      <c r="AB189" s="205"/>
      <c r="AC189" s="205"/>
      <c r="AD189" s="205"/>
      <c r="AE189" s="205"/>
      <c r="AF189" s="414"/>
      <c r="AG189" s="414"/>
      <c r="AH189" s="21"/>
      <c r="AI189" s="21"/>
      <c r="AJ189" s="21"/>
      <c r="AK189" s="21"/>
      <c r="AL189" s="21"/>
    </row>
    <row r="190" spans="1:38" s="407" customFormat="1" ht="12.95" customHeight="1" x14ac:dyDescent="0.2">
      <c r="A190" s="21"/>
      <c r="B190" s="21"/>
      <c r="C190" s="21"/>
      <c r="D190" s="21"/>
      <c r="E190" s="21"/>
      <c r="F190" s="21"/>
      <c r="G190" s="21"/>
      <c r="H190" s="21"/>
      <c r="I190" s="21"/>
      <c r="J190" s="21"/>
      <c r="K190" s="21"/>
      <c r="L190" s="21"/>
      <c r="M190" s="21"/>
      <c r="N190" s="21"/>
      <c r="O190" s="21"/>
      <c r="P190" s="21"/>
      <c r="Q190" s="21"/>
      <c r="R190" s="21"/>
      <c r="S190" s="601" t="s">
        <v>240</v>
      </c>
      <c r="T190" s="602"/>
      <c r="U190" s="503" t="str">
        <f>IF(U118=D118,"",EXP(IF(ISERROR(SQRT(U106^2-U73^2)),-SQRT(U73^2-U106^2),SQRT(U106^2-U73^2))/100))</f>
        <v/>
      </c>
      <c r="V190" s="503">
        <f>EXP(IF(ISERROR(SQRT(V106^2-V73^2)),-SQRT(V73^2-V106^2),SQRT(V106^2-V73^2))/100)</f>
        <v>1.0112246324235907</v>
      </c>
      <c r="W190" s="466"/>
      <c r="X190" s="466"/>
      <c r="Y190" s="466"/>
      <c r="Z190" s="466"/>
      <c r="AA190" s="467"/>
      <c r="AB190" s="400"/>
      <c r="AC190" s="398" t="s">
        <v>249</v>
      </c>
      <c r="AD190" s="428">
        <f t="shared" ref="AD190:AG192" si="155">EXP(AD281/100)</f>
        <v>1.0240428946670768</v>
      </c>
      <c r="AE190" s="427">
        <f t="shared" si="155"/>
        <v>1.0240428946670768</v>
      </c>
      <c r="AF190" s="427">
        <f t="shared" si="155"/>
        <v>1.0078091305573766</v>
      </c>
      <c r="AG190" s="427">
        <f t="shared" si="155"/>
        <v>1.0078091305573766</v>
      </c>
      <c r="AH190" s="21"/>
      <c r="AI190" s="21"/>
      <c r="AJ190" s="21"/>
      <c r="AK190" s="21"/>
      <c r="AL190" s="21"/>
    </row>
    <row r="191" spans="1:38" s="407" customFormat="1" ht="12.95" customHeight="1" x14ac:dyDescent="0.2">
      <c r="A191" s="21"/>
      <c r="B191" s="21"/>
      <c r="C191" s="21"/>
      <c r="D191" s="21"/>
      <c r="E191" s="21"/>
      <c r="F191" s="21"/>
      <c r="G191" s="21"/>
      <c r="H191" s="21"/>
      <c r="I191" s="21"/>
      <c r="J191" s="21"/>
      <c r="K191" s="21"/>
      <c r="L191" s="21"/>
      <c r="M191" s="21"/>
      <c r="N191" s="21"/>
      <c r="O191" s="21"/>
      <c r="P191" s="21"/>
      <c r="Q191" s="21"/>
      <c r="R191" s="21"/>
      <c r="S191" s="610"/>
      <c r="T191" s="488"/>
      <c r="U191" s="507"/>
      <c r="V191" s="507"/>
      <c r="W191" s="507"/>
      <c r="X191" s="507"/>
      <c r="Y191" s="507"/>
      <c r="Z191" s="507"/>
      <c r="AA191" s="508"/>
      <c r="AB191" s="585" t="s">
        <v>268</v>
      </c>
      <c r="AC191" s="182" t="s">
        <v>9</v>
      </c>
      <c r="AD191" s="429">
        <f t="shared" si="155"/>
        <v>1.0073041032908738</v>
      </c>
      <c r="AE191" s="430">
        <f t="shared" si="155"/>
        <v>1.0073041032908738</v>
      </c>
      <c r="AF191" s="430">
        <f t="shared" si="155"/>
        <v>0.98443896686946519</v>
      </c>
      <c r="AG191" s="430">
        <f t="shared" si="155"/>
        <v>0.98443896686946519</v>
      </c>
      <c r="AH191" s="21"/>
      <c r="AI191" s="21"/>
      <c r="AJ191" s="21"/>
      <c r="AK191" s="21"/>
      <c r="AL191" s="21"/>
    </row>
    <row r="192" spans="1:38" s="424" customFormat="1" ht="12" x14ac:dyDescent="0.2">
      <c r="A192" s="21"/>
      <c r="B192" s="21"/>
      <c r="C192" s="21"/>
      <c r="D192" s="21"/>
      <c r="E192" s="21"/>
      <c r="F192" s="21"/>
      <c r="G192" s="21"/>
      <c r="H192" s="21"/>
      <c r="I192" s="21"/>
      <c r="J192" s="21"/>
      <c r="K192" s="21"/>
      <c r="L192" s="21"/>
      <c r="M192" s="21"/>
      <c r="N192" s="21"/>
      <c r="O192" s="21"/>
      <c r="P192" s="21"/>
      <c r="Q192" s="421"/>
      <c r="R192" s="421"/>
      <c r="S192" s="611"/>
      <c r="T192" s="491"/>
      <c r="U192" s="509"/>
      <c r="V192" s="509"/>
      <c r="W192" s="509"/>
      <c r="X192" s="509"/>
      <c r="Y192" s="509"/>
      <c r="Z192" s="509"/>
      <c r="AA192" s="510"/>
      <c r="AB192" s="586"/>
      <c r="AC192" s="397" t="s">
        <v>10</v>
      </c>
      <c r="AD192" s="431">
        <f t="shared" si="155"/>
        <v>1.0333457672540021</v>
      </c>
      <c r="AE192" s="432">
        <f t="shared" si="155"/>
        <v>1.0333457672540021</v>
      </c>
      <c r="AF192" s="432">
        <f t="shared" si="155"/>
        <v>1.0193415936779944</v>
      </c>
      <c r="AG192" s="432">
        <f t="shared" si="155"/>
        <v>1.0193415936779944</v>
      </c>
      <c r="AH192" s="421"/>
      <c r="AI192" s="421"/>
      <c r="AJ192" s="421"/>
      <c r="AK192" s="421"/>
      <c r="AL192" s="421"/>
    </row>
    <row r="193" spans="1:38" x14ac:dyDescent="0.2">
      <c r="A193" s="54"/>
      <c r="B193" s="54"/>
      <c r="C193" s="54"/>
      <c r="D193" s="54"/>
      <c r="E193" s="54"/>
      <c r="F193" s="54"/>
      <c r="G193" s="54"/>
      <c r="H193" s="54"/>
      <c r="I193" s="54"/>
      <c r="J193" s="54"/>
      <c r="K193" s="54"/>
      <c r="L193" s="54"/>
      <c r="M193" s="54"/>
      <c r="N193" s="54"/>
      <c r="O193" s="54"/>
      <c r="P193" s="54"/>
      <c r="Q193" s="18"/>
      <c r="R193" s="18"/>
      <c r="S193" s="54"/>
      <c r="T193" s="54"/>
      <c r="U193" s="54"/>
      <c r="V193" s="54"/>
      <c r="W193" s="54"/>
      <c r="X193" s="54"/>
      <c r="Y193" s="54"/>
      <c r="Z193" s="54"/>
      <c r="AA193" s="54"/>
      <c r="AB193" s="54"/>
      <c r="AC193" s="54"/>
      <c r="AD193" s="54"/>
      <c r="AE193" s="54"/>
      <c r="AF193" s="54"/>
      <c r="AG193" s="54"/>
      <c r="AH193" s="18"/>
      <c r="AI193" s="18"/>
      <c r="AJ193" s="18"/>
      <c r="AK193" s="18"/>
      <c r="AL193" s="18"/>
    </row>
    <row r="194" spans="1:38" s="9" customFormat="1" ht="30" customHeight="1" x14ac:dyDescent="0.2">
      <c r="A194" s="18"/>
      <c r="B194" s="52"/>
      <c r="C194" s="52"/>
      <c r="D194" s="52"/>
      <c r="E194" s="54"/>
      <c r="F194" s="18"/>
      <c r="G194" s="18"/>
      <c r="H194" s="18"/>
      <c r="I194" s="18"/>
      <c r="J194" s="18"/>
      <c r="K194" s="52"/>
      <c r="L194" s="18"/>
      <c r="M194" s="54" t="str">
        <f>CONCATENATE($B$85,"-",$B$52," difference")</f>
        <v>Exptal-Control difference</v>
      </c>
      <c r="N194" s="18"/>
      <c r="O194" s="18"/>
      <c r="P194" s="18"/>
      <c r="Q194" s="52"/>
      <c r="R194" s="52"/>
      <c r="S194" s="52"/>
      <c r="T194" s="52"/>
      <c r="U194" s="52"/>
      <c r="V194" s="52"/>
      <c r="W194" s="52"/>
      <c r="X194" s="52"/>
      <c r="Y194" s="52"/>
      <c r="Z194" s="52"/>
      <c r="AA194" s="52"/>
      <c r="AB194" s="52"/>
      <c r="AC194" s="18"/>
      <c r="AD194" s="54" t="str">
        <f>CONCATENATE($B$85,"-",$B$52," difference")</f>
        <v>Exptal-Control difference</v>
      </c>
      <c r="AE194" s="18"/>
      <c r="AF194" s="18"/>
      <c r="AG194" s="18"/>
      <c r="AH194" s="52"/>
      <c r="AI194" s="52"/>
      <c r="AJ194" s="52"/>
      <c r="AK194" s="52"/>
      <c r="AL194" s="52"/>
    </row>
    <row r="195" spans="1:38" ht="16.5" x14ac:dyDescent="0.2">
      <c r="A195" s="18"/>
      <c r="B195" s="54" t="s">
        <v>4</v>
      </c>
      <c r="C195" s="18"/>
      <c r="D195" s="54" t="str">
        <f>CONCATENATE($B$85,"-",$B$52," difference")</f>
        <v>Exptal-Control difference</v>
      </c>
      <c r="E195" s="18"/>
      <c r="F195" s="18"/>
      <c r="G195" s="18"/>
      <c r="H195" s="18"/>
      <c r="I195" s="18"/>
      <c r="J195" s="18"/>
      <c r="K195" s="54" t="s">
        <v>4</v>
      </c>
      <c r="L195" s="54"/>
      <c r="M195" s="552" t="s">
        <v>123</v>
      </c>
      <c r="N195" s="552"/>
      <c r="O195" s="552" t="s">
        <v>124</v>
      </c>
      <c r="P195" s="552"/>
      <c r="Q195" s="18"/>
      <c r="R195" s="18"/>
      <c r="S195" s="54" t="s">
        <v>5</v>
      </c>
      <c r="T195" s="18"/>
      <c r="U195" s="54" t="str">
        <f>CONCATENATE($B$85,"-",$B$52," difference")</f>
        <v>Exptal-Control difference</v>
      </c>
      <c r="V195" s="18"/>
      <c r="W195" s="52"/>
      <c r="X195" s="54"/>
      <c r="Y195" s="54"/>
      <c r="Z195" s="54"/>
      <c r="AA195" s="54"/>
      <c r="AB195" s="54" t="s">
        <v>5</v>
      </c>
      <c r="AC195" s="54"/>
      <c r="AD195" s="552" t="s">
        <v>123</v>
      </c>
      <c r="AE195" s="552"/>
      <c r="AF195" s="552" t="s">
        <v>124</v>
      </c>
      <c r="AG195" s="552"/>
      <c r="AH195" s="18"/>
      <c r="AI195" s="51"/>
      <c r="AJ195" s="34"/>
      <c r="AK195" s="34"/>
      <c r="AL195" s="18"/>
    </row>
    <row r="196" spans="1:38" s="13" customFormat="1" ht="41.45" customHeight="1" x14ac:dyDescent="0.2">
      <c r="A196" s="52"/>
      <c r="B196" s="587" t="s">
        <v>238</v>
      </c>
      <c r="C196" s="588"/>
      <c r="D196" s="458" t="str">
        <f t="shared" ref="D196:E196" si="156">D51</f>
        <v>X1</v>
      </c>
      <c r="E196" s="458" t="str">
        <f t="shared" si="156"/>
        <v>X2</v>
      </c>
      <c r="F196" s="462"/>
      <c r="G196" s="462"/>
      <c r="H196" s="462"/>
      <c r="I196" s="462"/>
      <c r="J196" s="463"/>
      <c r="K196" s="589" t="s">
        <v>171</v>
      </c>
      <c r="L196" s="590"/>
      <c r="M196" s="188" t="str">
        <f>M50</f>
        <v>Custom effect, not adjusted</v>
      </c>
      <c r="N196" s="188" t="str">
        <f>N50</f>
        <v>Custom effect, not adjusted</v>
      </c>
      <c r="O196" s="188" t="str">
        <f>O50</f>
        <v>Custom effect, adjusted</v>
      </c>
      <c r="P196" s="188" t="str">
        <f>P50</f>
        <v>Custom effect, adjusted</v>
      </c>
      <c r="Q196" s="55"/>
      <c r="R196" s="55"/>
      <c r="S196" s="587" t="s">
        <v>238</v>
      </c>
      <c r="T196" s="588"/>
      <c r="U196" s="458" t="str">
        <f t="shared" ref="U196:V196" si="157">U51</f>
        <v>X1</v>
      </c>
      <c r="V196" s="458" t="str">
        <f t="shared" si="157"/>
        <v>X2</v>
      </c>
      <c r="W196" s="462"/>
      <c r="X196" s="462"/>
      <c r="Y196" s="462"/>
      <c r="Z196" s="462"/>
      <c r="AA196" s="463"/>
      <c r="AB196" s="589" t="s">
        <v>171</v>
      </c>
      <c r="AC196" s="590"/>
      <c r="AD196" s="188" t="str">
        <f>AD50</f>
        <v>Custom effect, not adjusted</v>
      </c>
      <c r="AE196" s="188" t="str">
        <f>AE50</f>
        <v>Custom effect, not adjusted</v>
      </c>
      <c r="AF196" s="188" t="str">
        <f>AF50</f>
        <v>Custom effect, adjusted</v>
      </c>
      <c r="AG196" s="188" t="str">
        <f>AG50</f>
        <v>Custom effect, adjusted</v>
      </c>
      <c r="AH196" s="55"/>
      <c r="AI196" s="55"/>
      <c r="AJ196" s="55"/>
      <c r="AK196" s="55"/>
      <c r="AL196" s="55"/>
    </row>
    <row r="197" spans="1:38" s="8" customFormat="1" ht="12.95" customHeight="1" x14ac:dyDescent="0.2">
      <c r="A197" s="38"/>
      <c r="B197" s="460"/>
      <c r="C197" s="461"/>
      <c r="D197" s="462"/>
      <c r="E197" s="462"/>
      <c r="F197" s="462"/>
      <c r="G197" s="462"/>
      <c r="H197" s="462"/>
      <c r="I197" s="462"/>
      <c r="J197" s="463"/>
      <c r="K197" s="457"/>
      <c r="L197" s="180" t="s">
        <v>266</v>
      </c>
      <c r="M197" s="176">
        <f>$F$42</f>
        <v>90</v>
      </c>
      <c r="N197" s="176">
        <f>$F$42</f>
        <v>90</v>
      </c>
      <c r="O197" s="176">
        <f>$F$42</f>
        <v>90</v>
      </c>
      <c r="P197" s="176">
        <f>$F$42</f>
        <v>90</v>
      </c>
      <c r="Q197" s="38"/>
      <c r="R197" s="38"/>
      <c r="S197" s="460"/>
      <c r="T197" s="461"/>
      <c r="U197" s="462"/>
      <c r="V197" s="462"/>
      <c r="W197" s="462"/>
      <c r="X197" s="462"/>
      <c r="Y197" s="462"/>
      <c r="Z197" s="462"/>
      <c r="AA197" s="463"/>
      <c r="AB197" s="457"/>
      <c r="AC197" s="180" t="s">
        <v>266</v>
      </c>
      <c r="AD197" s="176">
        <f>$F$42</f>
        <v>90</v>
      </c>
      <c r="AE197" s="176">
        <f>$F$42</f>
        <v>90</v>
      </c>
      <c r="AF197" s="176">
        <f>$F$42</f>
        <v>90</v>
      </c>
      <c r="AG197" s="176">
        <f>$F$42</f>
        <v>90</v>
      </c>
      <c r="AH197" s="38"/>
      <c r="AI197" s="38"/>
      <c r="AJ197" s="38"/>
      <c r="AK197" s="38"/>
      <c r="AL197" s="38"/>
    </row>
    <row r="198" spans="1:38" s="8" customFormat="1" x14ac:dyDescent="0.2">
      <c r="A198" s="38"/>
      <c r="B198" s="464"/>
      <c r="C198" s="465"/>
      <c r="D198" s="466"/>
      <c r="E198" s="466"/>
      <c r="F198" s="466"/>
      <c r="G198" s="466"/>
      <c r="H198" s="466"/>
      <c r="I198" s="466"/>
      <c r="J198" s="467"/>
      <c r="K198" s="457"/>
      <c r="L198" s="180" t="s">
        <v>84</v>
      </c>
      <c r="M198" s="401">
        <f>M141</f>
        <v>35.869465052006312</v>
      </c>
      <c r="N198" s="401">
        <f t="shared" ref="N198:P198" si="158">N141</f>
        <v>35.869465052006312</v>
      </c>
      <c r="O198" s="401">
        <f t="shared" si="158"/>
        <v>40.934565719415659</v>
      </c>
      <c r="P198" s="401">
        <f t="shared" si="158"/>
        <v>40.934565719415659</v>
      </c>
      <c r="Q198" s="38"/>
      <c r="R198" s="38"/>
      <c r="S198" s="464"/>
      <c r="T198" s="465"/>
      <c r="U198" s="466"/>
      <c r="V198" s="466"/>
      <c r="W198" s="466"/>
      <c r="X198" s="466"/>
      <c r="Y198" s="466"/>
      <c r="Z198" s="466"/>
      <c r="AA198" s="467"/>
      <c r="AB198" s="457"/>
      <c r="AC198" s="180" t="s">
        <v>84</v>
      </c>
      <c r="AD198" s="401">
        <f>AD141</f>
        <v>35.954541002119235</v>
      </c>
      <c r="AE198" s="401">
        <f t="shared" ref="AE198:AG198" si="159">AE141</f>
        <v>35.954541002119235</v>
      </c>
      <c r="AF198" s="401">
        <f t="shared" si="159"/>
        <v>40.811914554342572</v>
      </c>
      <c r="AG198" s="401">
        <f t="shared" si="159"/>
        <v>40.811914554342572</v>
      </c>
      <c r="AH198" s="38"/>
      <c r="AI198" s="38"/>
      <c r="AJ198" s="38"/>
      <c r="AK198" s="38"/>
      <c r="AL198" s="38"/>
    </row>
    <row r="199" spans="1:38" s="8" customFormat="1" ht="12.95" customHeight="1" x14ac:dyDescent="0.2">
      <c r="A199" s="38"/>
      <c r="B199" s="469"/>
      <c r="C199" s="387" t="s">
        <v>231</v>
      </c>
      <c r="D199" s="494">
        <f t="shared" ref="D199:E199" si="160">D147/D215</f>
        <v>8.4107098205912667E-2</v>
      </c>
      <c r="E199" s="494">
        <f t="shared" si="160"/>
        <v>-0.26330169629041256</v>
      </c>
      <c r="F199" s="505"/>
      <c r="G199" s="505"/>
      <c r="H199" s="505"/>
      <c r="I199" s="505"/>
      <c r="J199" s="506"/>
      <c r="K199" s="154"/>
      <c r="L199" s="180" t="s">
        <v>230</v>
      </c>
      <c r="M199" s="193">
        <f>M147/M215</f>
        <v>0.70412407480170058</v>
      </c>
      <c r="N199" s="193">
        <f>N147/N215</f>
        <v>0.70412407480170058</v>
      </c>
      <c r="O199" s="193">
        <f>O147/O215</f>
        <v>0.67880003103286957</v>
      </c>
      <c r="P199" s="193">
        <f>P147/P215</f>
        <v>0.67880003103286957</v>
      </c>
      <c r="Q199" s="38"/>
      <c r="R199" s="38"/>
      <c r="S199" s="469"/>
      <c r="T199" s="387" t="s">
        <v>232</v>
      </c>
      <c r="U199" s="494">
        <f>(U105-U72)/U215</f>
        <v>8.4107098205912667E-2</v>
      </c>
      <c r="V199" s="494">
        <f>(V105-V72)/V215</f>
        <v>-0.26844042323721495</v>
      </c>
      <c r="W199" s="466"/>
      <c r="X199" s="466"/>
      <c r="Y199" s="466"/>
      <c r="Z199" s="466"/>
      <c r="AA199" s="467"/>
      <c r="AB199" s="154"/>
      <c r="AC199" s="180" t="s">
        <v>230</v>
      </c>
      <c r="AD199" s="193">
        <f>AD268/AD215</f>
        <v>0.69937616939047142</v>
      </c>
      <c r="AE199" s="193">
        <f>AE268/AE215</f>
        <v>0.69937616939047142</v>
      </c>
      <c r="AF199" s="193">
        <f>AF268/AF215</f>
        <v>0.67013294434179149</v>
      </c>
      <c r="AG199" s="193">
        <f>AG268/AG215</f>
        <v>0.67013294434179149</v>
      </c>
      <c r="AH199" s="38"/>
      <c r="AI199" s="38"/>
      <c r="AJ199" s="38"/>
      <c r="AK199" s="38"/>
      <c r="AL199" s="38"/>
    </row>
    <row r="200" spans="1:38" s="8" customFormat="1" ht="13.15" customHeight="1" x14ac:dyDescent="0.2">
      <c r="A200" s="38"/>
      <c r="B200" s="605"/>
      <c r="C200" s="479"/>
      <c r="D200" s="499"/>
      <c r="E200" s="499"/>
      <c r="F200" s="499"/>
      <c r="G200" s="499"/>
      <c r="H200" s="499"/>
      <c r="I200" s="499"/>
      <c r="J200" s="500"/>
      <c r="K200" s="633" t="s">
        <v>267</v>
      </c>
      <c r="L200" s="402" t="s">
        <v>9</v>
      </c>
      <c r="M200" s="194">
        <f>M199-TINV((100-M197)/100,M198)*M140</f>
        <v>0.17536124495092642</v>
      </c>
      <c r="N200" s="194">
        <f>N199-TINV((100-N197)/100,N198)*N140</f>
        <v>0.17536124495092642</v>
      </c>
      <c r="O200" s="194">
        <f>O199-TINV((100-O197)/100,O198)*O140</f>
        <v>0.25216275125195192</v>
      </c>
      <c r="P200" s="194">
        <f>P199-TINV((100-P197)/100,P198)*P140</f>
        <v>0.25216275125195192</v>
      </c>
      <c r="Q200" s="38"/>
      <c r="R200" s="38"/>
      <c r="S200" s="605"/>
      <c r="T200" s="479"/>
      <c r="U200" s="499"/>
      <c r="V200" s="499"/>
      <c r="W200" s="499"/>
      <c r="X200" s="499"/>
      <c r="Y200" s="499"/>
      <c r="Z200" s="499"/>
      <c r="AA200" s="500"/>
      <c r="AB200" s="633" t="s">
        <v>267</v>
      </c>
      <c r="AC200" s="402" t="s">
        <v>9</v>
      </c>
      <c r="AD200" s="194">
        <f>AD199-TINV((100-AD197)/100,AD198)*AD140</f>
        <v>0.1699622105907147</v>
      </c>
      <c r="AE200" s="194">
        <f>AE199-TINV((100-AE197)/100,AE198)*AE140</f>
        <v>0.1699622105907147</v>
      </c>
      <c r="AF200" s="194">
        <f>AF199-TINV((100-AF197)/100,AF198)*AF140</f>
        <v>0.24328385710115058</v>
      </c>
      <c r="AG200" s="194">
        <f>AG199-TINV((100-AG197)/100,AG198)*AG140</f>
        <v>0.24328385710115058</v>
      </c>
      <c r="AH200" s="38"/>
      <c r="AI200" s="38"/>
      <c r="AJ200" s="38"/>
      <c r="AK200" s="38"/>
      <c r="AL200" s="38"/>
    </row>
    <row r="201" spans="1:38" s="8" customFormat="1" x14ac:dyDescent="0.2">
      <c r="A201" s="38"/>
      <c r="B201" s="606"/>
      <c r="C201" s="471"/>
      <c r="D201" s="496"/>
      <c r="E201" s="496"/>
      <c r="F201" s="496"/>
      <c r="G201" s="496"/>
      <c r="H201" s="496"/>
      <c r="I201" s="496"/>
      <c r="J201" s="501"/>
      <c r="K201" s="634"/>
      <c r="L201" s="403" t="s">
        <v>10</v>
      </c>
      <c r="M201" s="195">
        <f>M199+TINV((100-M197)/100,M198)*M140</f>
        <v>1.2328869046524749</v>
      </c>
      <c r="N201" s="195">
        <f>N199+TINV((100-N197)/100,N198)*N140</f>
        <v>1.2328869046524749</v>
      </c>
      <c r="O201" s="195">
        <f>O199+TINV((100-O197)/100,O198)*O140</f>
        <v>1.1054373108137872</v>
      </c>
      <c r="P201" s="195">
        <f>P199+TINV((100-P197)/100,P198)*P140</f>
        <v>1.1054373108137872</v>
      </c>
      <c r="Q201" s="38"/>
      <c r="R201" s="38"/>
      <c r="S201" s="606"/>
      <c r="T201" s="471"/>
      <c r="U201" s="496"/>
      <c r="V201" s="496"/>
      <c r="W201" s="496"/>
      <c r="X201" s="496"/>
      <c r="Y201" s="496"/>
      <c r="Z201" s="496"/>
      <c r="AA201" s="501"/>
      <c r="AB201" s="634"/>
      <c r="AC201" s="403" t="s">
        <v>10</v>
      </c>
      <c r="AD201" s="195">
        <f>AD199+TINV((100-AD197)/100,AD198)*AD140</f>
        <v>1.2287901281902283</v>
      </c>
      <c r="AE201" s="195">
        <f>AE199+TINV((100-AE197)/100,AE198)*AE140</f>
        <v>1.2287901281902283</v>
      </c>
      <c r="AF201" s="195">
        <f>AF199+TINV((100-AF197)/100,AF198)*AF140</f>
        <v>1.0969820315824323</v>
      </c>
      <c r="AG201" s="195">
        <f>AG199+TINV((100-AG197)/100,AG198)*AG140</f>
        <v>1.0969820315824323</v>
      </c>
      <c r="AH201" s="38"/>
      <c r="AI201" s="38"/>
      <c r="AJ201" s="38"/>
      <c r="AK201" s="38"/>
      <c r="AL201" s="38"/>
    </row>
    <row r="202" spans="1:38" s="8" customFormat="1" ht="12.95" customHeight="1" x14ac:dyDescent="0.2">
      <c r="A202" s="38"/>
      <c r="B202" s="606"/>
      <c r="C202" s="459"/>
      <c r="D202" s="497"/>
      <c r="E202" s="497"/>
      <c r="F202" s="497"/>
      <c r="G202" s="497"/>
      <c r="H202" s="497"/>
      <c r="I202" s="497"/>
      <c r="J202" s="502"/>
      <c r="K202" s="635"/>
      <c r="L202" s="186" t="s">
        <v>11</v>
      </c>
      <c r="M202" s="196">
        <f>(M201-M200)/2</f>
        <v>0.52876282985077427</v>
      </c>
      <c r="N202" s="196">
        <f>(N201-N200)/2</f>
        <v>0.52876282985077427</v>
      </c>
      <c r="O202" s="196">
        <f>(O201-O200)/2</f>
        <v>0.42663727978091759</v>
      </c>
      <c r="P202" s="196">
        <f>(P201-P200)/2</f>
        <v>0.42663727978091759</v>
      </c>
      <c r="Q202" s="38"/>
      <c r="R202" s="38"/>
      <c r="S202" s="606"/>
      <c r="T202" s="459"/>
      <c r="U202" s="497"/>
      <c r="V202" s="497"/>
      <c r="W202" s="497"/>
      <c r="X202" s="497"/>
      <c r="Y202" s="497"/>
      <c r="Z202" s="497"/>
      <c r="AA202" s="502"/>
      <c r="AB202" s="635"/>
      <c r="AC202" s="186" t="s">
        <v>11</v>
      </c>
      <c r="AD202" s="196">
        <f>(AD201-AD200)/2</f>
        <v>0.52941395879975683</v>
      </c>
      <c r="AE202" s="196">
        <f>(AE201-AE200)/2</f>
        <v>0.52941395879975683</v>
      </c>
      <c r="AF202" s="196">
        <f>(AF201-AF200)/2</f>
        <v>0.42684908724064086</v>
      </c>
      <c r="AG202" s="196">
        <f>(AG201-AG200)/2</f>
        <v>0.42684908724064086</v>
      </c>
      <c r="AH202" s="38"/>
      <c r="AI202" s="38"/>
      <c r="AJ202" s="38"/>
      <c r="AK202" s="38"/>
      <c r="AL202" s="38"/>
    </row>
    <row r="203" spans="1:38" s="407" customFormat="1" ht="13.15" customHeight="1" x14ac:dyDescent="0.2">
      <c r="A203" s="21"/>
      <c r="B203" s="593"/>
      <c r="C203" s="472"/>
      <c r="D203" s="498"/>
      <c r="E203" s="498"/>
      <c r="F203" s="498"/>
      <c r="G203" s="498"/>
      <c r="H203" s="498"/>
      <c r="I203" s="498"/>
      <c r="J203" s="504"/>
      <c r="K203" s="594" t="s">
        <v>271</v>
      </c>
      <c r="L203" s="404" t="str">
        <f>"+ive or "&amp;IF($C$39&gt;0,"harmful","beneficial")</f>
        <v>+ive or beneficial</v>
      </c>
      <c r="M203" s="405" t="str">
        <f>IF(ISBLANK($C$39),"",MAX($C$39,$D$39))</f>
        <v/>
      </c>
      <c r="N203" s="405" t="str">
        <f>IF(ISBLANK($C$39),"",MAX($C$39,$D$39))</f>
        <v/>
      </c>
      <c r="O203" s="405" t="str">
        <f>IF(ISBLANK($C$39),"",MAX($C$39,$D$39))</f>
        <v/>
      </c>
      <c r="P203" s="405" t="str">
        <f>IF(ISBLANK($C$39),"",MAX($C$39,$D$39))</f>
        <v/>
      </c>
      <c r="Q203" s="21"/>
      <c r="R203" s="21"/>
      <c r="S203" s="593"/>
      <c r="T203" s="472"/>
      <c r="U203" s="498"/>
      <c r="V203" s="498"/>
      <c r="W203" s="498"/>
      <c r="X203" s="498"/>
      <c r="Y203" s="498"/>
      <c r="Z203" s="498"/>
      <c r="AA203" s="504"/>
      <c r="AB203" s="594" t="s">
        <v>271</v>
      </c>
      <c r="AC203" s="404" t="str">
        <f>"+ive or "&amp;IF($C$39&gt;0,"harmful","beneficial")</f>
        <v>+ive or beneficial</v>
      </c>
      <c r="AD203" s="405" t="str">
        <f>IF(ISBLANK($C$39),"",MAX($C$39,$D$39))</f>
        <v/>
      </c>
      <c r="AE203" s="405" t="str">
        <f>IF(ISBLANK($C$39),"",MAX($C$39,$D$39))</f>
        <v/>
      </c>
      <c r="AF203" s="405" t="str">
        <f>IF(ISBLANK($C$39),"",MAX($C$39,$D$39))</f>
        <v/>
      </c>
      <c r="AG203" s="405" t="str">
        <f>IF(ISBLANK($C$39),"",MAX($C$39,$D$39))</f>
        <v/>
      </c>
      <c r="AH203" s="21"/>
      <c r="AI203" s="21"/>
      <c r="AJ203" s="21"/>
      <c r="AK203" s="21"/>
      <c r="AL203" s="21"/>
    </row>
    <row r="204" spans="1:38" s="407" customFormat="1" ht="12.95" customHeight="1" x14ac:dyDescent="0.2">
      <c r="A204" s="21"/>
      <c r="B204" s="593"/>
      <c r="C204" s="473"/>
      <c r="D204" s="498"/>
      <c r="E204" s="498"/>
      <c r="F204" s="498"/>
      <c r="G204" s="498"/>
      <c r="H204" s="498"/>
      <c r="I204" s="498"/>
      <c r="J204" s="504"/>
      <c r="K204" s="586"/>
      <c r="L204" s="408" t="str">
        <f>"-ive or "&amp;IF($C$39&lt;0,"harmful","beneficial")</f>
        <v>-ive or beneficial</v>
      </c>
      <c r="M204" s="405" t="str">
        <f>IF(ISBLANK($C$39),"",MIN($C$39,$D$39))</f>
        <v/>
      </c>
      <c r="N204" s="405" t="str">
        <f>IF(ISBLANK($C$39),"",MIN($C$39,$D$39))</f>
        <v/>
      </c>
      <c r="O204" s="405" t="str">
        <f>IF(ISBLANK($C$39),"",MIN($C$39,$D$39))</f>
        <v/>
      </c>
      <c r="P204" s="405" t="str">
        <f>IF(ISBLANK($C$39),"",MIN($C$39,$D$39))</f>
        <v/>
      </c>
      <c r="Q204" s="21"/>
      <c r="R204" s="21"/>
      <c r="S204" s="593"/>
      <c r="T204" s="473"/>
      <c r="U204" s="498"/>
      <c r="V204" s="498"/>
      <c r="W204" s="498"/>
      <c r="X204" s="498"/>
      <c r="Y204" s="498"/>
      <c r="Z204" s="498"/>
      <c r="AA204" s="504"/>
      <c r="AB204" s="586"/>
      <c r="AC204" s="408" t="str">
        <f>"-ive or "&amp;IF($C$39&lt;0,"harmful","beneficial")</f>
        <v>-ive or beneficial</v>
      </c>
      <c r="AD204" s="405" t="str">
        <f>IF(ISBLANK($C$39),"",MIN($C$39,$D$39))</f>
        <v/>
      </c>
      <c r="AE204" s="405" t="str">
        <f>IF(ISBLANK($C$39),"",MIN($C$39,$D$39))</f>
        <v/>
      </c>
      <c r="AF204" s="405" t="str">
        <f>IF(ISBLANK($C$39),"",MIN($C$39,$D$39))</f>
        <v/>
      </c>
      <c r="AG204" s="405" t="str">
        <f>IF(ISBLANK($C$39),"",MIN($C$39,$D$39))</f>
        <v/>
      </c>
      <c r="AH204" s="21"/>
      <c r="AI204" s="21"/>
      <c r="AJ204" s="21"/>
      <c r="AK204" s="21"/>
      <c r="AL204" s="21"/>
    </row>
    <row r="205" spans="1:38" s="407" customFormat="1" ht="12.95" customHeight="1" x14ac:dyDescent="0.2">
      <c r="A205" s="21"/>
      <c r="B205" s="593"/>
      <c r="C205" s="591"/>
      <c r="D205" s="474"/>
      <c r="E205" s="474"/>
      <c r="F205" s="474"/>
      <c r="G205" s="474"/>
      <c r="H205" s="474"/>
      <c r="I205" s="474"/>
      <c r="J205" s="480"/>
      <c r="K205" s="594" t="s">
        <v>156</v>
      </c>
      <c r="L205" s="597" t="str">
        <f>"substantially positive (+ive) or "&amp;IF($C$39&gt;0,"harmful","beneficial")</f>
        <v>substantially positive (+ive) or beneficial</v>
      </c>
      <c r="M205" s="545" t="e">
        <f>IF(ISERROR(TDIST((M203-M199)/M140,M198,1)),1-TDIST((M199-M203)/M140,M198,1),TDIST((M203-M199)/M140,M198,1))*100</f>
        <v>#VALUE!</v>
      </c>
      <c r="N205" s="545" t="e">
        <f t="shared" ref="N205:P205" si="161">IF(ISERROR(TDIST((N203-N199)/N140,N198,1)),1-TDIST((N199-N203)/N140,N198,1),TDIST((N203-N199)/N140,N198,1))*100</f>
        <v>#VALUE!</v>
      </c>
      <c r="O205" s="545" t="e">
        <f t="shared" si="161"/>
        <v>#VALUE!</v>
      </c>
      <c r="P205" s="545" t="e">
        <f t="shared" si="161"/>
        <v>#VALUE!</v>
      </c>
      <c r="Q205" s="21"/>
      <c r="R205" s="21"/>
      <c r="S205" s="593"/>
      <c r="T205" s="591"/>
      <c r="U205" s="474"/>
      <c r="V205" s="474"/>
      <c r="W205" s="474"/>
      <c r="X205" s="474"/>
      <c r="Y205" s="474"/>
      <c r="Z205" s="474"/>
      <c r="AA205" s="480"/>
      <c r="AB205" s="594" t="s">
        <v>156</v>
      </c>
      <c r="AC205" s="597" t="str">
        <f>"substantially positive (+ive) or "&amp;IF($C$39&gt;0,"harmful","beneficial")</f>
        <v>substantially positive (+ive) or beneficial</v>
      </c>
      <c r="AD205" s="545" t="e">
        <f>IF(ISERROR(TDIST((AD203-AD199)/AD140,AD198,1)),1-TDIST((AD199-AD203)/AD140,AD198,1),TDIST((AD203-AD199)/AD140,AD198,1))*100</f>
        <v>#VALUE!</v>
      </c>
      <c r="AE205" s="545" t="e">
        <f t="shared" ref="AE205:AG205" si="162">IF(ISERROR(TDIST((AE203-AE199)/AE140,AE198,1)),1-TDIST((AE199-AE203)/AE140,AE198,1),TDIST((AE203-AE199)/AE140,AE198,1))*100</f>
        <v>#VALUE!</v>
      </c>
      <c r="AF205" s="545" t="e">
        <f t="shared" si="162"/>
        <v>#VALUE!</v>
      </c>
      <c r="AG205" s="545" t="e">
        <f t="shared" si="162"/>
        <v>#VALUE!</v>
      </c>
      <c r="AH205" s="21"/>
      <c r="AI205" s="21"/>
      <c r="AJ205" s="21"/>
      <c r="AK205" s="21"/>
      <c r="AL205" s="21"/>
    </row>
    <row r="206" spans="1:38" s="407" customFormat="1" ht="30.95" customHeight="1" x14ac:dyDescent="0.2">
      <c r="A206" s="21"/>
      <c r="B206" s="593"/>
      <c r="C206" s="592"/>
      <c r="D206" s="475"/>
      <c r="E206" s="475"/>
      <c r="F206" s="475"/>
      <c r="G206" s="475"/>
      <c r="H206" s="475"/>
      <c r="I206" s="475"/>
      <c r="J206" s="481"/>
      <c r="K206" s="585"/>
      <c r="L206" s="598"/>
      <c r="M206" s="409" t="e">
        <f>IF(M205&lt;0.5,"most unlikely",IF(M205&lt;5,"very unlikely",IF(M205&lt;25,"unlikely",IF(M205&lt;75,"possibly",IF(M205&lt;95,"likely",IF(M205&lt;99.5,"very likely","most likely"))))))</f>
        <v>#VALUE!</v>
      </c>
      <c r="N206" s="409" t="e">
        <f>IF(N205&lt;0.5,"most unlikely",IF(N205&lt;5,"very unlikely",IF(N205&lt;25,"unlikely",IF(N205&lt;75,"possibly",IF(N205&lt;95,"likely",IF(N205&lt;99.5,"very likely","most likely"))))))</f>
        <v>#VALUE!</v>
      </c>
      <c r="O206" s="409" t="e">
        <f>IF(O205&lt;0.5,"most unlikely",IF(O205&lt;5,"very unlikely",IF(O205&lt;25,"unlikely",IF(O205&lt;75,"possibly",IF(O205&lt;95,"likely",IF(O205&lt;99.5,"very likely","most likely"))))))</f>
        <v>#VALUE!</v>
      </c>
      <c r="P206" s="409" t="e">
        <f>IF(P205&lt;0.5,"most unlikely",IF(P205&lt;5,"very unlikely",IF(P205&lt;25,"unlikely",IF(P205&lt;75,"possibly",IF(P205&lt;95,"likely",IF(P205&lt;99.5,"very likely","most likely"))))))</f>
        <v>#VALUE!</v>
      </c>
      <c r="Q206" s="21"/>
      <c r="R206" s="21"/>
      <c r="S206" s="593"/>
      <c r="T206" s="592"/>
      <c r="U206" s="475"/>
      <c r="V206" s="475"/>
      <c r="W206" s="475"/>
      <c r="X206" s="475"/>
      <c r="Y206" s="475"/>
      <c r="Z206" s="475"/>
      <c r="AA206" s="481"/>
      <c r="AB206" s="585"/>
      <c r="AC206" s="598"/>
      <c r="AD206" s="409" t="e">
        <f>IF(AD205&lt;0.5,"most unlikely",IF(AD205&lt;5,"very unlikely",IF(AD205&lt;25,"unlikely",IF(AD205&lt;75,"possibly",IF(AD205&lt;95,"likely",IF(AD205&lt;99.5,"very likely","most likely"))))))</f>
        <v>#VALUE!</v>
      </c>
      <c r="AE206" s="409" t="e">
        <f>IF(AE205&lt;0.5,"most unlikely",IF(AE205&lt;5,"very unlikely",IF(AE205&lt;25,"unlikely",IF(AE205&lt;75,"possibly",IF(AE205&lt;95,"likely",IF(AE205&lt;99.5,"very likely","most likely"))))))</f>
        <v>#VALUE!</v>
      </c>
      <c r="AF206" s="409" t="e">
        <f>IF(AF205&lt;0.5,"most unlikely",IF(AF205&lt;5,"very unlikely",IF(AF205&lt;25,"unlikely",IF(AF205&lt;75,"possibly",IF(AF205&lt;95,"likely",IF(AF205&lt;99.5,"very likely","most likely"))))))</f>
        <v>#VALUE!</v>
      </c>
      <c r="AG206" s="409" t="e">
        <f>IF(AG205&lt;0.5,"most unlikely",IF(AG205&lt;5,"very unlikely",IF(AG205&lt;25,"unlikely",IF(AG205&lt;75,"possibly",IF(AG205&lt;95,"likely",IF(AG205&lt;99.5,"very likely","most likely"))))))</f>
        <v>#VALUE!</v>
      </c>
      <c r="AH206" s="21"/>
      <c r="AI206" s="21"/>
      <c r="AJ206" s="21"/>
      <c r="AK206" s="21"/>
      <c r="AL206" s="21"/>
    </row>
    <row r="207" spans="1:38" s="407" customFormat="1" ht="12.95" customHeight="1" x14ac:dyDescent="0.2">
      <c r="A207" s="21"/>
      <c r="B207" s="593"/>
      <c r="C207" s="607"/>
      <c r="D207" s="474"/>
      <c r="E207" s="474"/>
      <c r="F207" s="474"/>
      <c r="G207" s="474"/>
      <c r="H207" s="474"/>
      <c r="I207" s="474"/>
      <c r="J207" s="480"/>
      <c r="K207" s="585"/>
      <c r="L207" s="599" t="s">
        <v>12</v>
      </c>
      <c r="M207" s="545" t="e">
        <f>100-M205-M209</f>
        <v>#VALUE!</v>
      </c>
      <c r="N207" s="545" t="e">
        <f>100-N205-N209</f>
        <v>#VALUE!</v>
      </c>
      <c r="O207" s="545" t="e">
        <f>100-O205-O209</f>
        <v>#VALUE!</v>
      </c>
      <c r="P207" s="545" t="e">
        <f>100-P205-P209</f>
        <v>#VALUE!</v>
      </c>
      <c r="Q207" s="21"/>
      <c r="R207" s="21"/>
      <c r="S207" s="593"/>
      <c r="T207" s="607"/>
      <c r="U207" s="474"/>
      <c r="V207" s="474"/>
      <c r="W207" s="474"/>
      <c r="X207" s="474"/>
      <c r="Y207" s="474"/>
      <c r="Z207" s="474"/>
      <c r="AA207" s="480"/>
      <c r="AB207" s="585"/>
      <c r="AC207" s="599" t="s">
        <v>12</v>
      </c>
      <c r="AD207" s="545" t="e">
        <f>100-AD205-AD209</f>
        <v>#VALUE!</v>
      </c>
      <c r="AE207" s="545" t="e">
        <f>100-AE205-AE209</f>
        <v>#VALUE!</v>
      </c>
      <c r="AF207" s="545" t="e">
        <f>100-AF205-AF209</f>
        <v>#VALUE!</v>
      </c>
      <c r="AG207" s="545" t="e">
        <f>100-AG205-AG209</f>
        <v>#VALUE!</v>
      </c>
      <c r="AH207" s="21"/>
      <c r="AI207" s="21"/>
      <c r="AJ207" s="21"/>
      <c r="AK207" s="21"/>
      <c r="AL207" s="21"/>
    </row>
    <row r="208" spans="1:38" s="407" customFormat="1" ht="30.95" customHeight="1" x14ac:dyDescent="0.2">
      <c r="A208" s="21"/>
      <c r="B208" s="593"/>
      <c r="C208" s="607"/>
      <c r="D208" s="475"/>
      <c r="E208" s="475"/>
      <c r="F208" s="475"/>
      <c r="G208" s="475"/>
      <c r="H208" s="475"/>
      <c r="I208" s="475"/>
      <c r="J208" s="481"/>
      <c r="K208" s="585"/>
      <c r="L208" s="600"/>
      <c r="M208" s="409" t="e">
        <f>IF(M207&lt;0.5,"most unlikely",IF(M207&lt;5,"very unlikely",IF(M207&lt;25,"unlikely",IF(M207&lt;75,"possibly",IF(M207&lt;95,"likely",IF(M207&lt;99.5,"very likely","most likely"))))))</f>
        <v>#VALUE!</v>
      </c>
      <c r="N208" s="409" t="e">
        <f>IF(N207&lt;0.5,"most unlikely",IF(N207&lt;5,"very unlikely",IF(N207&lt;25,"unlikely",IF(N207&lt;75,"possibly",IF(N207&lt;95,"likely",IF(N207&lt;99.5,"very likely","most likely"))))))</f>
        <v>#VALUE!</v>
      </c>
      <c r="O208" s="409" t="e">
        <f>IF(O207&lt;0.5,"most unlikely",IF(O207&lt;5,"very unlikely",IF(O207&lt;25,"unlikely",IF(O207&lt;75,"possibly",IF(O207&lt;95,"likely",IF(O207&lt;99.5,"very likely","most likely"))))))</f>
        <v>#VALUE!</v>
      </c>
      <c r="P208" s="409" t="e">
        <f>IF(P207&lt;0.5,"most unlikely",IF(P207&lt;5,"very unlikely",IF(P207&lt;25,"unlikely",IF(P207&lt;75,"possibly",IF(P207&lt;95,"likely",IF(P207&lt;99.5,"very likely","most likely"))))))</f>
        <v>#VALUE!</v>
      </c>
      <c r="Q208" s="21"/>
      <c r="R208" s="21"/>
      <c r="S208" s="593"/>
      <c r="T208" s="607"/>
      <c r="U208" s="475"/>
      <c r="V208" s="475"/>
      <c r="W208" s="475"/>
      <c r="X208" s="475"/>
      <c r="Y208" s="475"/>
      <c r="Z208" s="475"/>
      <c r="AA208" s="481"/>
      <c r="AB208" s="585"/>
      <c r="AC208" s="600"/>
      <c r="AD208" s="409" t="e">
        <f>IF(AD207&lt;0.5,"most unlikely",IF(AD207&lt;5,"very unlikely",IF(AD207&lt;25,"unlikely",IF(AD207&lt;75,"possibly",IF(AD207&lt;95,"likely",IF(AD207&lt;99.5,"very likely","most likely"))))))</f>
        <v>#VALUE!</v>
      </c>
      <c r="AE208" s="409" t="e">
        <f>IF(AE207&lt;0.5,"most unlikely",IF(AE207&lt;5,"very unlikely",IF(AE207&lt;25,"unlikely",IF(AE207&lt;75,"possibly",IF(AE207&lt;95,"likely",IF(AE207&lt;99.5,"very likely","most likely"))))))</f>
        <v>#VALUE!</v>
      </c>
      <c r="AF208" s="409" t="e">
        <f>IF(AF207&lt;0.5,"most unlikely",IF(AF207&lt;5,"very unlikely",IF(AF207&lt;25,"unlikely",IF(AF207&lt;75,"possibly",IF(AF207&lt;95,"likely",IF(AF207&lt;99.5,"very likely","most likely"))))))</f>
        <v>#VALUE!</v>
      </c>
      <c r="AG208" s="409" t="e">
        <f>IF(AG207&lt;0.5,"most unlikely",IF(AG207&lt;5,"very unlikely",IF(AG207&lt;25,"unlikely",IF(AG207&lt;75,"possibly",IF(AG207&lt;95,"likely",IF(AG207&lt;99.5,"very likely","most likely"))))))</f>
        <v>#VALUE!</v>
      </c>
      <c r="AH208" s="21"/>
      <c r="AI208" s="21"/>
      <c r="AJ208" s="21"/>
      <c r="AK208" s="21"/>
      <c r="AL208" s="21"/>
    </row>
    <row r="209" spans="1:38" s="407" customFormat="1" ht="12.95" customHeight="1" x14ac:dyDescent="0.2">
      <c r="A209" s="21"/>
      <c r="B209" s="593"/>
      <c r="C209" s="608"/>
      <c r="D209" s="474"/>
      <c r="E209" s="474"/>
      <c r="F209" s="474"/>
      <c r="G209" s="474"/>
      <c r="H209" s="474"/>
      <c r="I209" s="474"/>
      <c r="J209" s="480"/>
      <c r="K209" s="585"/>
      <c r="L209" s="603" t="str">
        <f>"substantially negative (-ive) or "&amp;IF($C$39&lt;0,"harmful","beneficial")</f>
        <v>substantially negative (-ive) or beneficial</v>
      </c>
      <c r="M209" s="545" t="e">
        <f>IF(ISERROR(TDIST((M204-M199)/M140,M198,1)),TDIST((M199-M204)/M140,M198,1),1-TDIST((M204-M199)/M140,M198,1))*100</f>
        <v>#VALUE!</v>
      </c>
      <c r="N209" s="545" t="e">
        <f t="shared" ref="N209:P209" si="163">IF(ISERROR(TDIST((N204-N199)/N140,N198,1)),TDIST((N199-N204)/N140,N198,1),1-TDIST((N204-N199)/N140,N198,1))*100</f>
        <v>#VALUE!</v>
      </c>
      <c r="O209" s="545" t="e">
        <f t="shared" si="163"/>
        <v>#VALUE!</v>
      </c>
      <c r="P209" s="545" t="e">
        <f t="shared" si="163"/>
        <v>#VALUE!</v>
      </c>
      <c r="Q209" s="21"/>
      <c r="R209" s="21"/>
      <c r="S209" s="593"/>
      <c r="T209" s="608"/>
      <c r="U209" s="474"/>
      <c r="V209" s="474"/>
      <c r="W209" s="474"/>
      <c r="X209" s="474"/>
      <c r="Y209" s="474"/>
      <c r="Z209" s="474"/>
      <c r="AA209" s="480"/>
      <c r="AB209" s="585"/>
      <c r="AC209" s="603" t="str">
        <f>"substantially negative (-ive) or "&amp;IF($C$39&lt;0,"harmful","beneficial")</f>
        <v>substantially negative (-ive) or beneficial</v>
      </c>
      <c r="AD209" s="545" t="e">
        <f>IF(ISERROR(TDIST((AD204-AD199)/AD140,AD198,1)),TDIST((AD199-AD204)/AD140,AD198,1),1-TDIST((AD204-AD199)/AD140,AD198,1))*100</f>
        <v>#VALUE!</v>
      </c>
      <c r="AE209" s="545" t="e">
        <f t="shared" ref="AE209:AG209" si="164">IF(ISERROR(TDIST((AE204-AE199)/AE140,AE198,1)),TDIST((AE199-AE204)/AE140,AE198,1),1-TDIST((AE204-AE199)/AE140,AE198,1))*100</f>
        <v>#VALUE!</v>
      </c>
      <c r="AF209" s="545" t="e">
        <f t="shared" si="164"/>
        <v>#VALUE!</v>
      </c>
      <c r="AG209" s="545" t="e">
        <f t="shared" si="164"/>
        <v>#VALUE!</v>
      </c>
      <c r="AH209" s="21"/>
      <c r="AI209" s="21"/>
      <c r="AJ209" s="21"/>
      <c r="AK209" s="21"/>
      <c r="AL209" s="21"/>
    </row>
    <row r="210" spans="1:38" s="407" customFormat="1" ht="30.95" customHeight="1" x14ac:dyDescent="0.2">
      <c r="A210" s="21"/>
      <c r="B210" s="593"/>
      <c r="C210" s="609"/>
      <c r="D210" s="475"/>
      <c r="E210" s="475"/>
      <c r="F210" s="475"/>
      <c r="G210" s="475"/>
      <c r="H210" s="475"/>
      <c r="I210" s="475"/>
      <c r="J210" s="481"/>
      <c r="K210" s="585"/>
      <c r="L210" s="604"/>
      <c r="M210" s="409" t="e">
        <f>IF(M209&lt;0.5,"most unlikely",IF(M209&lt;5,"very unlikely",IF(M209&lt;25,"unlikely",IF(M209&lt;75,"possibly",IF(M209&lt;95,"likely",IF(M209&lt;99.5,"very likely","most likely"))))))</f>
        <v>#VALUE!</v>
      </c>
      <c r="N210" s="409" t="e">
        <f>IF(N209&lt;0.5,"most unlikely",IF(N209&lt;5,"very unlikely",IF(N209&lt;25,"unlikely",IF(N209&lt;75,"possibly",IF(N209&lt;95,"likely",IF(N209&lt;99.5,"very likely","most likely"))))))</f>
        <v>#VALUE!</v>
      </c>
      <c r="O210" s="409" t="e">
        <f>IF(O209&lt;0.5,"most unlikely",IF(O209&lt;5,"very unlikely",IF(O209&lt;25,"unlikely",IF(O209&lt;75,"possibly",IF(O209&lt;95,"likely",IF(O209&lt;99.5,"very likely","most likely"))))))</f>
        <v>#VALUE!</v>
      </c>
      <c r="P210" s="409" t="e">
        <f>IF(P209&lt;0.5,"most unlikely",IF(P209&lt;5,"very unlikely",IF(P209&lt;25,"unlikely",IF(P209&lt;75,"possibly",IF(P209&lt;95,"likely",IF(P209&lt;99.5,"very likely","most likely"))))))</f>
        <v>#VALUE!</v>
      </c>
      <c r="Q210" s="21"/>
      <c r="R210" s="21"/>
      <c r="S210" s="593"/>
      <c r="T210" s="609"/>
      <c r="U210" s="475"/>
      <c r="V210" s="475"/>
      <c r="W210" s="475"/>
      <c r="X210" s="475"/>
      <c r="Y210" s="475"/>
      <c r="Z210" s="475"/>
      <c r="AA210" s="481"/>
      <c r="AB210" s="585"/>
      <c r="AC210" s="604"/>
      <c r="AD210" s="409" t="e">
        <f>IF(AD209&lt;0.5,"most unlikely",IF(AD209&lt;5,"very unlikely",IF(AD209&lt;25,"unlikely",IF(AD209&lt;75,"possibly",IF(AD209&lt;95,"likely",IF(AD209&lt;99.5,"very likely","most likely"))))))</f>
        <v>#VALUE!</v>
      </c>
      <c r="AE210" s="409" t="e">
        <f>IF(AE209&lt;0.5,"most unlikely",IF(AE209&lt;5,"very unlikely",IF(AE209&lt;25,"unlikely",IF(AE209&lt;75,"possibly",IF(AE209&lt;95,"likely",IF(AE209&lt;99.5,"very likely","most likely"))))))</f>
        <v>#VALUE!</v>
      </c>
      <c r="AF210" s="409" t="e">
        <f>IF(AF209&lt;0.5,"most unlikely",IF(AF209&lt;5,"very unlikely",IF(AF209&lt;25,"unlikely",IF(AF209&lt;75,"possibly",IF(AF209&lt;95,"likely",IF(AF209&lt;99.5,"very likely","most likely"))))))</f>
        <v>#VALUE!</v>
      </c>
      <c r="AG210" s="409" t="e">
        <f>IF(AG209&lt;0.5,"most unlikely",IF(AG209&lt;5,"very unlikely",IF(AG209&lt;25,"unlikely",IF(AG209&lt;75,"possibly",IF(AG209&lt;95,"likely",IF(AG209&lt;99.5,"very likely","most likely"))))))</f>
        <v>#VALUE!</v>
      </c>
      <c r="AH210" s="21"/>
      <c r="AI210" s="21"/>
      <c r="AJ210" s="21"/>
      <c r="AK210" s="21"/>
      <c r="AL210" s="21"/>
    </row>
    <row r="211" spans="1:38" s="407" customFormat="1" ht="35.1" customHeight="1" x14ac:dyDescent="0.2">
      <c r="A211" s="21"/>
      <c r="B211" s="581"/>
      <c r="C211" s="582"/>
      <c r="D211" s="476"/>
      <c r="E211" s="476"/>
      <c r="F211" s="476"/>
      <c r="G211" s="476"/>
      <c r="H211" s="476"/>
      <c r="I211" s="476"/>
      <c r="J211" s="482"/>
      <c r="K211" s="580" t="str">
        <f>"Non-clinical  decision, based on threshold chances of "&amp;$F$44&amp;"% for substantial magnitudes"</f>
        <v>Non-clinical  decision, based on threshold chances of 5% for substantial magnitudes</v>
      </c>
      <c r="L211" s="571"/>
      <c r="M211" s="399" t="e">
        <f>IF(MIN(M205,M209)&gt;$F$44,"unclear; get more data",IF(M205&gt;25,M206&amp;" +ive",IF(M209&gt;25,M210&amp;" –ive",M208&amp;" trivial")))</f>
        <v>#VALUE!</v>
      </c>
      <c r="N211" s="399" t="e">
        <f t="shared" ref="N211" si="165">IF(MIN(N205,N209)&gt;$F$44,"unclear; get more data",IF(N205&gt;25,N206&amp;" +ive",IF(N209&gt;25,N210&amp;" –ive",N208&amp;" trivial")))</f>
        <v>#VALUE!</v>
      </c>
      <c r="O211" s="399" t="e">
        <f t="shared" ref="O211" si="166">IF(MIN(O205,O209)&gt;$F$44,"unclear; get more data",IF(O205&gt;25,O206&amp;" +ive",IF(O209&gt;25,O210&amp;" –ive",O208&amp;" trivial")))</f>
        <v>#VALUE!</v>
      </c>
      <c r="P211" s="399" t="e">
        <f t="shared" ref="P211" si="167">IF(MIN(P205,P209)&gt;$F$44,"unclear; get more data",IF(P205&gt;25,P206&amp;" +ive",IF(P209&gt;25,P210&amp;" –ive",P208&amp;" trivial")))</f>
        <v>#VALUE!</v>
      </c>
      <c r="Q211" s="21"/>
      <c r="R211" s="21"/>
      <c r="S211" s="581"/>
      <c r="T211" s="582"/>
      <c r="U211" s="477"/>
      <c r="V211" s="476"/>
      <c r="W211" s="476"/>
      <c r="X211" s="476"/>
      <c r="Y211" s="476"/>
      <c r="Z211" s="476"/>
      <c r="AA211" s="482"/>
      <c r="AB211" s="580" t="str">
        <f>"Non-clinical  decision, based on threshold chances of "&amp;$F$44&amp;"% for substantial magnitudes"</f>
        <v>Non-clinical  decision, based on threshold chances of 5% for substantial magnitudes</v>
      </c>
      <c r="AC211" s="571"/>
      <c r="AD211" s="399" t="e">
        <f>IF(MIN(AD205,AD209)&gt;$F$44,"unclear; get more data",IF(AD205&gt;25,AD206&amp;" +ive",IF(AD209&gt;25,AD210&amp;" –ive",AD208&amp;" trivial")))</f>
        <v>#VALUE!</v>
      </c>
      <c r="AE211" s="399" t="e">
        <f t="shared" ref="AE211" si="168">IF(MIN(AE205,AE209)&gt;$F$44,"unclear; get more data",IF(AE205&gt;25,AE206&amp;" +ive",IF(AE209&gt;25,AE210&amp;" –ive",AE208&amp;" trivial")))</f>
        <v>#VALUE!</v>
      </c>
      <c r="AF211" s="399" t="e">
        <f t="shared" ref="AF211" si="169">IF(MIN(AF205,AF209)&gt;$F$44,"unclear; get more data",IF(AF205&gt;25,AF206&amp;" +ive",IF(AF209&gt;25,AF210&amp;" –ive",AF208&amp;" trivial")))</f>
        <v>#VALUE!</v>
      </c>
      <c r="AG211" s="399" t="e">
        <f t="shared" ref="AG211" si="170">IF(MIN(AG205,AG209)&gt;$F$44,"unclear; get more data",IF(AG205&gt;25,AG206&amp;" +ive",IF(AG209&gt;25,AG210&amp;" –ive",AG208&amp;" trivial")))</f>
        <v>#VALUE!</v>
      </c>
      <c r="AH211" s="21"/>
      <c r="AI211" s="21"/>
      <c r="AJ211" s="21"/>
      <c r="AK211" s="21"/>
      <c r="AL211" s="21"/>
    </row>
    <row r="212" spans="1:38" s="407" customFormat="1" ht="35.1" customHeight="1" x14ac:dyDescent="0.2">
      <c r="A212" s="21"/>
      <c r="B212" s="581"/>
      <c r="C212" s="582"/>
      <c r="D212" s="477"/>
      <c r="E212" s="477"/>
      <c r="F212" s="477"/>
      <c r="G212" s="477"/>
      <c r="H212" s="477"/>
      <c r="I212" s="477"/>
      <c r="J212" s="483"/>
      <c r="K212" s="580" t="str">
        <f>"Clinical decision, based on threshold chances of harm and benefit of "&amp;$F$45&amp;"% and "&amp;$F$46&amp;"%"</f>
        <v>Clinical decision, based on threshold chances of harm and benefit of 0.5% and 25%</v>
      </c>
      <c r="L212" s="571"/>
      <c r="M212" s="399" t="e">
        <f>IF($C$39&gt;0,IF(M209&gt;$F$46,IF(M205&lt;$F$45,M210&amp;" beneficial","unclear; get more data"),IF(M205&gt;25,M206&amp;" harmful",M208&amp;" trivial")),IF(M205&gt;$F$46,IF(M209&lt;$F$45,M206&amp;" beneficial","unclear; get more data"),IF(M209&gt;25,M210&amp;" harmful",M208&amp;" trivial")))</f>
        <v>#VALUE!</v>
      </c>
      <c r="N212" s="399" t="e">
        <f>IF($C$39&gt;0,IF(N209&gt;$F$46,IF(N205&lt;$F$45,N210&amp;" beneficial","unclear; get more data"),IF(N205&gt;25,N206&amp;" harmful",N208&amp;" trivial")),IF(N205&gt;$F$46,IF(N209&lt;$F$45,N206&amp;" beneficial","unclear; get more data"),IF(N209&gt;25,N210&amp;" harmful",N208&amp;" trivial")))</f>
        <v>#VALUE!</v>
      </c>
      <c r="O212" s="399" t="e">
        <f>IF($C$39&gt;0,IF(O209&gt;$F$46,IF(O205&lt;$F$45,O210&amp;" beneficial","unclear; get more data"),IF(O205&gt;25,O206&amp;" harmful",O208&amp;" trivial")),IF(O205&gt;$F$46,IF(O209&lt;$F$45,O206&amp;" beneficial","unclear; get more data"),IF(O209&gt;25,O210&amp;" harmful",O208&amp;" trivial")))</f>
        <v>#VALUE!</v>
      </c>
      <c r="P212" s="399" t="e">
        <f>IF($C$39&gt;0,IF(P209&gt;$F$46,IF(P205&lt;$F$45,P210&amp;" beneficial","unclear; get more data"),IF(P205&gt;25,P206&amp;" harmful",P208&amp;" trivial")),IF(P205&gt;$F$46,IF(P209&lt;$F$45,P206&amp;" beneficial","unclear; get more data"),IF(P209&gt;25,P210&amp;" harmful",P208&amp;" trivial")))</f>
        <v>#VALUE!</v>
      </c>
      <c r="Q212" s="21"/>
      <c r="R212" s="21"/>
      <c r="S212" s="581"/>
      <c r="T212" s="582"/>
      <c r="U212" s="477"/>
      <c r="V212" s="477"/>
      <c r="W212" s="477"/>
      <c r="X212" s="477"/>
      <c r="Y212" s="477"/>
      <c r="Z212" s="477"/>
      <c r="AA212" s="483"/>
      <c r="AB212" s="580" t="str">
        <f>"Clinical decision, based on threshold chances of harm and benefit of "&amp;$F$45&amp;"% and "&amp;$F$46&amp;"%"</f>
        <v>Clinical decision, based on threshold chances of harm and benefit of 0.5% and 25%</v>
      </c>
      <c r="AC212" s="571"/>
      <c r="AD212" s="399" t="e">
        <f>IF($C$39&gt;0,IF(AD209&gt;$F$46,IF(AD205&lt;$F$45,AD210&amp;" beneficial","unclear; get more data"),IF(AD205&gt;25,AD206&amp;" harmful",AD208&amp;" trivial")),IF(AD205&gt;$F$46,IF(AD209&lt;$F$45,AD206&amp;" beneficial","unclear; get more data"),IF(AD209&gt;25,AD210&amp;" harmful",AD208&amp;" trivial")))</f>
        <v>#VALUE!</v>
      </c>
      <c r="AE212" s="399" t="e">
        <f>IF($C$39&gt;0,IF(AE209&gt;$F$46,IF(AE205&lt;$F$45,AE210&amp;" beneficial","unclear; get more data"),IF(AE205&gt;25,AE206&amp;" harmful",AE208&amp;" trivial")),IF(AE205&gt;$F$46,IF(AE209&lt;$F$45,AE206&amp;" beneficial","unclear; get more data"),IF(AE209&gt;25,AE210&amp;" harmful",AE208&amp;" trivial")))</f>
        <v>#VALUE!</v>
      </c>
      <c r="AF212" s="399" t="e">
        <f>IF($C$39&gt;0,IF(AF209&gt;$F$46,IF(AF205&lt;$F$45,AF210&amp;" beneficial","unclear; get more data"),IF(AF205&gt;25,AF206&amp;" harmful",AF208&amp;" trivial")),IF(AF205&gt;$F$46,IF(AF209&lt;$F$45,AF206&amp;" beneficial","unclear; get more data"),IF(AF209&gt;25,AF210&amp;" harmful",AF208&amp;" trivial")))</f>
        <v>#VALUE!</v>
      </c>
      <c r="AG212" s="399" t="e">
        <f>IF($C$39&gt;0,IF(AG209&gt;$F$46,IF(AG205&lt;$F$45,AG210&amp;" beneficial","unclear; get more data"),IF(AG205&gt;25,AG206&amp;" harmful",AG208&amp;" trivial")),IF(AG205&gt;$F$46,IF(AG209&lt;$F$45,AG206&amp;" beneficial","unclear; get more data"),IF(AG209&gt;25,AG210&amp;" harmful",AG208&amp;" trivial")))</f>
        <v>#VALUE!</v>
      </c>
      <c r="AH212" s="21"/>
      <c r="AI212" s="21"/>
      <c r="AJ212" s="21"/>
      <c r="AK212" s="21"/>
      <c r="AL212" s="21"/>
    </row>
    <row r="213" spans="1:38" s="407" customFormat="1" ht="12.95" customHeight="1" x14ac:dyDescent="0.2">
      <c r="A213" s="21"/>
      <c r="B213" s="581"/>
      <c r="C213" s="582"/>
      <c r="D213" s="478"/>
      <c r="E213" s="478"/>
      <c r="F213" s="478"/>
      <c r="G213" s="478"/>
      <c r="H213" s="478"/>
      <c r="I213" s="478"/>
      <c r="J213" s="484"/>
      <c r="K213" s="580" t="s">
        <v>105</v>
      </c>
      <c r="L213" s="571"/>
      <c r="M213" s="411" t="e">
        <f>IF($C$39&gt;0,M209/(100-M209)/(M205/(100-M205)),M205/(100-M205)/(M209/(100-M209)))</f>
        <v>#VALUE!</v>
      </c>
      <c r="N213" s="411" t="e">
        <f>IF($C$39&gt;0,N209/(100-N209)/(N205/(100-N205)),N205/(100-N205)/(N209/(100-N209)))</f>
        <v>#VALUE!</v>
      </c>
      <c r="O213" s="411" t="e">
        <f>IF($C$39&gt;0,O209/(100-O209)/(O205/(100-O205)),O205/(100-O205)/(O209/(100-O209)))</f>
        <v>#VALUE!</v>
      </c>
      <c r="P213" s="411" t="e">
        <f>IF($C$39&gt;0,P209/(100-P209)/(P205/(100-P205)),P205/(100-P205)/(P209/(100-P209)))</f>
        <v>#VALUE!</v>
      </c>
      <c r="Q213" s="21"/>
      <c r="R213" s="21"/>
      <c r="S213" s="581"/>
      <c r="T213" s="582"/>
      <c r="U213" s="478"/>
      <c r="V213" s="478"/>
      <c r="W213" s="478"/>
      <c r="X213" s="478"/>
      <c r="Y213" s="478"/>
      <c r="Z213" s="478"/>
      <c r="AA213" s="484"/>
      <c r="AB213" s="580" t="s">
        <v>105</v>
      </c>
      <c r="AC213" s="571"/>
      <c r="AD213" s="411" t="e">
        <f>IF($C$39&gt;0,AD209/(100-AD209)/(AD205/(100-AD205)),AD205/(100-AD205)/(AD209/(100-AD209)))</f>
        <v>#VALUE!</v>
      </c>
      <c r="AE213" s="411" t="e">
        <f>IF($C$39&gt;0,AE209/(100-AE209)/(AE205/(100-AE205)),AE205/(100-AE205)/(AE209/(100-AE209)))</f>
        <v>#VALUE!</v>
      </c>
      <c r="AF213" s="411" t="e">
        <f>IF($C$39&gt;0,AF209/(100-AF209)/(AF205/(100-AF205)),AF205/(100-AF205)/(AF209/(100-AF209)))</f>
        <v>#VALUE!</v>
      </c>
      <c r="AG213" s="411" t="e">
        <f>IF($C$39&gt;0,AG209/(100-AG209)/(AG205/(100-AG205)),AG205/(100-AG205)/(AG209/(100-AG209)))</f>
        <v>#VALUE!</v>
      </c>
      <c r="AH213" s="21"/>
      <c r="AI213" s="21"/>
      <c r="AJ213" s="21"/>
      <c r="AK213" s="21"/>
      <c r="AL213" s="21"/>
    </row>
    <row r="214" spans="1:38" s="407" customFormat="1" ht="35.1" customHeight="1" x14ac:dyDescent="0.2">
      <c r="A214" s="21"/>
      <c r="B214" s="628"/>
      <c r="C214" s="629"/>
      <c r="D214" s="505"/>
      <c r="E214" s="505"/>
      <c r="F214" s="505"/>
      <c r="G214" s="505"/>
      <c r="H214" s="505"/>
      <c r="I214" s="505"/>
      <c r="J214" s="506"/>
      <c r="K214" s="580" t="str">
        <f>"Clinical decision as above, but declaring beneficial when odds ratio of benefit/harm is &gt;"&amp;$F$47</f>
        <v>Clinical decision as above, but declaring beneficial when odds ratio of benefit/harm is &gt;66</v>
      </c>
      <c r="L214" s="571"/>
      <c r="M214" s="399" t="e">
        <f>IF(M213&gt;$F$47,IF($C$39&gt;0,M210,M206)&amp;" beneficial",IF($C$39&gt;0,IF(M209&gt;$F$46,IF(M205&lt;$F$45,M210&amp;" beneficial","unclear; get more data"),IF(M205&gt;25,M206&amp;" harmful",M208&amp;" trivial")),IF(M205&gt;$F$46,IF(M209&lt;$F$45,M206&amp;" beneficial","unclear; get more data"),IF(M209&gt;25,M210&amp;" harmful",M208&amp;" trivial"))))</f>
        <v>#VALUE!</v>
      </c>
      <c r="N214" s="399" t="e">
        <f>IF(N213&gt;$F$47,IF($C$39&gt;0,N210,N206)&amp;" beneficial",IF($C$39&gt;0,IF(N209&gt;$F$46,IF(N205&lt;$F$45,N210&amp;" beneficial","unclear; get more data"),IF(N205&gt;25,N206&amp;" harmful",N208&amp;" trivial")),IF(N205&gt;$F$46,IF(N209&lt;$F$45,N206&amp;" beneficial","unclear; get more data"),IF(N209&gt;25,N210&amp;" harmful",N208&amp;" trivial"))))</f>
        <v>#VALUE!</v>
      </c>
      <c r="O214" s="399" t="e">
        <f>IF(O213&gt;$F$47,IF($C$39&gt;0,O210,O206)&amp;" beneficial",IF($C$39&gt;0,IF(O209&gt;$F$46,IF(O205&lt;$F$45,O210&amp;" beneficial","unclear; get more data"),IF(O205&gt;25,O206&amp;" harmful",O208&amp;" trivial")),IF(O205&gt;$F$46,IF(O209&lt;$F$45,O206&amp;" beneficial","unclear; get more data"),IF(O209&gt;25,O210&amp;" harmful",O208&amp;" trivial"))))</f>
        <v>#VALUE!</v>
      </c>
      <c r="P214" s="399" t="e">
        <f>IF(P213&gt;$F$47,IF($C$39&gt;0,P210,P206)&amp;" beneficial",IF($C$39&gt;0,IF(P209&gt;$F$46,IF(P205&lt;$F$45,P210&amp;" beneficial","unclear; get more data"),IF(P205&gt;25,P206&amp;" harmful",P208&amp;" trivial")),IF(P205&gt;$F$46,IF(P209&lt;$F$45,P206&amp;" beneficial","unclear; get more data"),IF(P209&gt;25,P210&amp;" harmful",P208&amp;" trivial"))))</f>
        <v>#VALUE!</v>
      </c>
      <c r="Q214" s="21"/>
      <c r="R214" s="21"/>
      <c r="S214" s="628"/>
      <c r="T214" s="629"/>
      <c r="U214" s="505"/>
      <c r="V214" s="505"/>
      <c r="W214" s="505"/>
      <c r="X214" s="505"/>
      <c r="Y214" s="505"/>
      <c r="Z214" s="505"/>
      <c r="AA214" s="506"/>
      <c r="AB214" s="580" t="str">
        <f>"Clinical decision as above, but declaring beneficial when odds ratio of benefit/harm is &gt;"&amp;$F$47</f>
        <v>Clinical decision as above, but declaring beneficial when odds ratio of benefit/harm is &gt;66</v>
      </c>
      <c r="AC214" s="571"/>
      <c r="AD214" s="399" t="e">
        <f>IF(AD213&gt;$F$47,IF($C$39&gt;0,AD210,AD206)&amp;" beneficial",IF($C$39&gt;0,IF(AD209&gt;$F$46,IF(AD205&lt;$F$45,AD210&amp;" beneficial","unclear; get more data"),IF(AD205&gt;25,AD206&amp;" harmful",AD208&amp;" trivial")),IF(AD205&gt;$F$46,IF(AD209&lt;$F$45,AD206&amp;" beneficial","unclear; get more data"),IF(AD209&gt;25,AD210&amp;" harmful",AD208&amp;" trivial"))))</f>
        <v>#VALUE!</v>
      </c>
      <c r="AE214" s="399" t="e">
        <f>IF(AE213&gt;$F$47,IF($C$39&gt;0,AE210,AE206)&amp;" beneficial",IF($C$39&gt;0,IF(AE209&gt;$F$46,IF(AE205&lt;$F$45,AE210&amp;" beneficial","unclear; get more data"),IF(AE205&gt;25,AE206&amp;" harmful",AE208&amp;" trivial")),IF(AE205&gt;$F$46,IF(AE209&lt;$F$45,AE206&amp;" beneficial","unclear; get more data"),IF(AE209&gt;25,AE210&amp;" harmful",AE208&amp;" trivial"))))</f>
        <v>#VALUE!</v>
      </c>
      <c r="AF214" s="399" t="e">
        <f>IF(AF213&gt;$F$47,IF($C$39&gt;0,AF210,AF206)&amp;" beneficial",IF($C$39&gt;0,IF(AF209&gt;$F$46,IF(AF205&lt;$F$45,AF210&amp;" beneficial","unclear; get more data"),IF(AF205&gt;25,AF206&amp;" harmful",AF208&amp;" trivial")),IF(AF205&gt;$F$46,IF(AF209&lt;$F$45,AF206&amp;" beneficial","unclear; get more data"),IF(AF209&gt;25,AF210&amp;" harmful",AF208&amp;" trivial"))))</f>
        <v>#VALUE!</v>
      </c>
      <c r="AG214" s="399" t="e">
        <f>IF(AG213&gt;$F$47,IF($C$39&gt;0,AG210,AG206)&amp;" beneficial",IF($C$39&gt;0,IF(AG209&gt;$F$46,IF(AG205&lt;$F$45,AG210&amp;" beneficial","unclear; get more data"),IF(AG205&gt;25,AG206&amp;" harmful",AG208&amp;" trivial")),IF(AG205&gt;$F$46,IF(AG209&lt;$F$45,AG206&amp;" beneficial","unclear; get more data"),IF(AG209&gt;25,AG210&amp;" harmful",AG208&amp;" trivial"))))</f>
        <v>#VALUE!</v>
      </c>
      <c r="AH214" s="21"/>
      <c r="AI214" s="21"/>
      <c r="AJ214" s="21"/>
      <c r="AK214" s="21"/>
      <c r="AL214" s="21"/>
    </row>
    <row r="215" spans="1:38" s="407" customFormat="1" ht="12.95" customHeight="1" x14ac:dyDescent="0.2">
      <c r="A215" s="21"/>
      <c r="B215" s="485"/>
      <c r="C215" s="381" t="s">
        <v>165</v>
      </c>
      <c r="D215" s="495">
        <f>D119/(1-3/(4*D120-1))</f>
        <v>3.9830169765201884</v>
      </c>
      <c r="E215" s="495">
        <f>E119/(1-3/(4*E120-1))</f>
        <v>9.6467285846817159</v>
      </c>
      <c r="F215" s="505"/>
      <c r="G215" s="505"/>
      <c r="H215" s="505"/>
      <c r="I215" s="505"/>
      <c r="J215" s="506"/>
      <c r="K215" s="4"/>
      <c r="L215" s="3" t="s">
        <v>166</v>
      </c>
      <c r="M215" s="5">
        <f>F133</f>
        <v>10.481107327679998</v>
      </c>
      <c r="N215" s="5">
        <f>$M$215</f>
        <v>10.481107327679998</v>
      </c>
      <c r="O215" s="5">
        <f>$M$215</f>
        <v>10.481107327679998</v>
      </c>
      <c r="P215" s="5">
        <f>$M$215</f>
        <v>10.481107327679998</v>
      </c>
      <c r="Q215" s="21"/>
      <c r="R215" s="21"/>
      <c r="S215" s="485"/>
      <c r="T215" s="381" t="s">
        <v>165</v>
      </c>
      <c r="U215" s="495">
        <f>U119/(1-3/(4*U120-1))</f>
        <v>3.9830169765201884</v>
      </c>
      <c r="V215" s="495">
        <f>V119/(1-3/(4*V120-1))</f>
        <v>2.3868889818907344</v>
      </c>
      <c r="W215" s="505"/>
      <c r="X215" s="505"/>
      <c r="Y215" s="505"/>
      <c r="Z215" s="505"/>
      <c r="AA215" s="506"/>
      <c r="AB215" s="4"/>
      <c r="AC215" s="3" t="s">
        <v>166</v>
      </c>
      <c r="AD215" s="5">
        <f>W133</f>
        <v>2.5941025004799285</v>
      </c>
      <c r="AE215" s="5">
        <f>$AD$215</f>
        <v>2.5941025004799285</v>
      </c>
      <c r="AF215" s="5">
        <f>$AD$215</f>
        <v>2.5941025004799285</v>
      </c>
      <c r="AG215" s="5">
        <f>$AD$215</f>
        <v>2.5941025004799285</v>
      </c>
      <c r="AH215" s="21"/>
      <c r="AI215" s="21"/>
      <c r="AJ215" s="21"/>
      <c r="AK215" s="21"/>
      <c r="AL215" s="21"/>
    </row>
    <row r="216" spans="1:38" s="407" customFormat="1" ht="12.95" customHeight="1" x14ac:dyDescent="0.2">
      <c r="A216" s="21"/>
      <c r="B216" s="511"/>
      <c r="C216" s="512" t="s">
        <v>241</v>
      </c>
      <c r="D216" s="513">
        <f t="shared" ref="D216:E216" si="171">D164/D215</f>
        <v>0.80215787712957975</v>
      </c>
      <c r="E216" s="514">
        <f t="shared" si="171"/>
        <v>0.46800514594826109</v>
      </c>
      <c r="F216" s="505"/>
      <c r="G216" s="505"/>
      <c r="H216" s="505"/>
      <c r="I216" s="505"/>
      <c r="J216" s="506"/>
      <c r="K216" s="400"/>
      <c r="L216" s="398" t="s">
        <v>248</v>
      </c>
      <c r="M216" s="428">
        <f>M164/M215</f>
        <v>0.92060992232978822</v>
      </c>
      <c r="N216" s="428">
        <f>N164/N215</f>
        <v>0.92060992232978822</v>
      </c>
      <c r="O216" s="428">
        <f>O164/O215</f>
        <v>0.32736332525039702</v>
      </c>
      <c r="P216" s="428">
        <f>P164/P215</f>
        <v>0.32736332525039702</v>
      </c>
      <c r="Q216" s="21"/>
      <c r="R216" s="21"/>
      <c r="S216" s="511"/>
      <c r="T216" s="512" t="s">
        <v>241</v>
      </c>
      <c r="U216" s="513">
        <f>IF(ISERROR(SQRT(U106^2-U73^2)),-SQRT(U73^2-U106^2),SQRT(U106^2-U73^2))/U215</f>
        <v>0.80215787712957975</v>
      </c>
      <c r="V216" s="514">
        <f t="shared" ref="V216" si="172">V164/V215</f>
        <v>0.47026202344355966</v>
      </c>
      <c r="W216" s="505"/>
      <c r="X216" s="505"/>
      <c r="Y216" s="505"/>
      <c r="Z216" s="505"/>
      <c r="AA216" s="506"/>
      <c r="AB216" s="400"/>
      <c r="AC216" s="398" t="s">
        <v>248</v>
      </c>
      <c r="AD216" s="428">
        <f>AD281/AD215</f>
        <v>0.91586261756829024</v>
      </c>
      <c r="AE216" s="428">
        <f>AE281/AE215</f>
        <v>0.91586261756829024</v>
      </c>
      <c r="AF216" s="428">
        <f>AF281/AF215</f>
        <v>0.29986467813487461</v>
      </c>
      <c r="AG216" s="428">
        <f>AG281/AG215</f>
        <v>0.29986467813487461</v>
      </c>
      <c r="AH216" s="21"/>
      <c r="AI216" s="21"/>
      <c r="AJ216" s="21"/>
      <c r="AK216" s="21"/>
      <c r="AL216" s="21"/>
    </row>
    <row r="217" spans="1:38" s="407" customFormat="1" ht="13.15" customHeight="1" x14ac:dyDescent="0.2">
      <c r="A217" s="21"/>
      <c r="B217" s="610"/>
      <c r="C217" s="488"/>
      <c r="D217" s="507"/>
      <c r="E217" s="507"/>
      <c r="F217" s="507"/>
      <c r="G217" s="507"/>
      <c r="H217" s="507"/>
      <c r="I217" s="507"/>
      <c r="J217" s="508"/>
      <c r="K217" s="585" t="s">
        <v>268</v>
      </c>
      <c r="L217" s="182" t="s">
        <v>9</v>
      </c>
      <c r="M217" s="429">
        <f>M165/M215</f>
        <v>0.29742076028574627</v>
      </c>
      <c r="N217" s="429">
        <f>N165/N215</f>
        <v>0.29742076028574627</v>
      </c>
      <c r="O217" s="429">
        <f>O165/O215</f>
        <v>-0.58940515934164373</v>
      </c>
      <c r="P217" s="429">
        <f>P165/P215</f>
        <v>-0.58940515934164373</v>
      </c>
      <c r="Q217" s="21"/>
      <c r="R217" s="21"/>
      <c r="S217" s="610"/>
      <c r="T217" s="488"/>
      <c r="U217" s="507"/>
      <c r="V217" s="507"/>
      <c r="W217" s="507"/>
      <c r="X217" s="507"/>
      <c r="Y217" s="507"/>
      <c r="Z217" s="507"/>
      <c r="AA217" s="508"/>
      <c r="AB217" s="585" t="s">
        <v>268</v>
      </c>
      <c r="AC217" s="182" t="s">
        <v>9</v>
      </c>
      <c r="AD217" s="429">
        <f>AD282/AD215</f>
        <v>0.28054240380961526</v>
      </c>
      <c r="AE217" s="429">
        <f>AE282/AE215</f>
        <v>0.28054240380961526</v>
      </c>
      <c r="AF217" s="429">
        <f>AF282/AF215</f>
        <v>-0.60457814831491175</v>
      </c>
      <c r="AG217" s="429">
        <f>AG282/AG215</f>
        <v>-0.60457814831491175</v>
      </c>
      <c r="AH217" s="21"/>
      <c r="AI217" s="21"/>
      <c r="AJ217" s="21"/>
      <c r="AK217" s="21"/>
      <c r="AL217" s="21"/>
    </row>
    <row r="218" spans="1:38" s="407" customFormat="1" ht="12" x14ac:dyDescent="0.2">
      <c r="A218" s="21"/>
      <c r="B218" s="611"/>
      <c r="C218" s="491"/>
      <c r="D218" s="509"/>
      <c r="E218" s="509"/>
      <c r="F218" s="509"/>
      <c r="G218" s="509"/>
      <c r="H218" s="509"/>
      <c r="I218" s="509"/>
      <c r="J218" s="510"/>
      <c r="K218" s="586"/>
      <c r="L218" s="397" t="s">
        <v>10</v>
      </c>
      <c r="M218" s="431">
        <f>M166/M215</f>
        <v>1.267511794633551</v>
      </c>
      <c r="N218" s="431">
        <f>N166/N215</f>
        <v>1.267511794633551</v>
      </c>
      <c r="O218" s="431">
        <f>O166/O215</f>
        <v>0.74948778195280985</v>
      </c>
      <c r="P218" s="431">
        <f>P166/P215</f>
        <v>0.74948778195280985</v>
      </c>
      <c r="Q218" s="21"/>
      <c r="R218" s="21"/>
      <c r="S218" s="611"/>
      <c r="T218" s="491"/>
      <c r="U218" s="509"/>
      <c r="V218" s="509"/>
      <c r="W218" s="509"/>
      <c r="X218" s="509"/>
      <c r="Y218" s="509"/>
      <c r="Z218" s="509"/>
      <c r="AA218" s="510"/>
      <c r="AB218" s="586"/>
      <c r="AC218" s="397" t="s">
        <v>10</v>
      </c>
      <c r="AD218" s="431">
        <f>AD283/AD215</f>
        <v>1.264478006207622</v>
      </c>
      <c r="AE218" s="431">
        <f>AE283/AE215</f>
        <v>1.264478006207622</v>
      </c>
      <c r="AF218" s="431">
        <f>AF283/AF215</f>
        <v>0.73847978158223881</v>
      </c>
      <c r="AG218" s="431">
        <f>AG283/AG215</f>
        <v>0.73847978158223881</v>
      </c>
      <c r="AH218" s="21"/>
      <c r="AI218" s="21"/>
      <c r="AJ218" s="21"/>
      <c r="AK218" s="21"/>
      <c r="AL218" s="21"/>
    </row>
    <row r="219" spans="1:38" x14ac:dyDescent="0.2">
      <c r="A219" s="18"/>
      <c r="B219" s="202"/>
      <c r="C219" s="198"/>
      <c r="D219" s="203"/>
      <c r="E219" s="203"/>
      <c r="F219" s="203"/>
      <c r="G219" s="203"/>
      <c r="H219" s="203"/>
      <c r="I219" s="203"/>
      <c r="J219" s="203"/>
      <c r="K219" s="202"/>
      <c r="L219" s="198"/>
      <c r="M219" s="203"/>
      <c r="N219" s="203"/>
      <c r="O219" s="203"/>
      <c r="P219" s="203"/>
      <c r="Q219" s="18"/>
      <c r="R219" s="18"/>
      <c r="S219" s="202"/>
      <c r="T219" s="198"/>
      <c r="U219" s="198"/>
      <c r="V219" s="198"/>
      <c r="W219" s="203"/>
      <c r="X219" s="203"/>
      <c r="Y219" s="203"/>
      <c r="Z219" s="203"/>
      <c r="AA219" s="203"/>
      <c r="AB219" s="202"/>
      <c r="AC219" s="198"/>
      <c r="AD219" s="203"/>
      <c r="AE219" s="203"/>
      <c r="AF219" s="203"/>
      <c r="AG219" s="203"/>
      <c r="AH219" s="18"/>
      <c r="AI219" s="18"/>
      <c r="AJ219" s="18"/>
      <c r="AK219" s="18"/>
      <c r="AL219" s="18"/>
    </row>
    <row r="220" spans="1:38" ht="12.95" customHeight="1" x14ac:dyDescent="0.2">
      <c r="A220" s="18"/>
      <c r="B220" s="158"/>
      <c r="C220" s="18"/>
      <c r="D220" s="374"/>
      <c r="E220" s="54"/>
      <c r="F220" s="18"/>
      <c r="G220" s="18"/>
      <c r="H220" s="18"/>
      <c r="I220" s="18"/>
      <c r="J220" s="18"/>
      <c r="K220" s="18"/>
      <c r="L220" s="18"/>
      <c r="M220" s="552" t="s">
        <v>123</v>
      </c>
      <c r="N220" s="552"/>
      <c r="O220" s="552" t="s">
        <v>124</v>
      </c>
      <c r="P220" s="552"/>
      <c r="Q220" s="18"/>
      <c r="R220" s="18"/>
      <c r="S220" s="158"/>
      <c r="T220" s="18"/>
      <c r="U220" s="18"/>
      <c r="V220" s="374"/>
      <c r="W220" s="203"/>
      <c r="X220" s="54"/>
      <c r="Y220" s="54"/>
      <c r="Z220" s="54"/>
      <c r="AA220" s="54"/>
      <c r="AB220" s="18"/>
      <c r="AC220" s="18"/>
      <c r="AD220" s="552" t="s">
        <v>123</v>
      </c>
      <c r="AE220" s="552"/>
      <c r="AF220" s="552" t="s">
        <v>124</v>
      </c>
      <c r="AG220" s="552"/>
      <c r="AH220" s="18"/>
      <c r="AI220" s="18"/>
      <c r="AJ220" s="18"/>
      <c r="AK220" s="18"/>
      <c r="AL220" s="18"/>
    </row>
    <row r="221" spans="1:38" s="13" customFormat="1" ht="40.700000000000003" customHeight="1" x14ac:dyDescent="0.2">
      <c r="A221" s="18"/>
      <c r="B221" s="18"/>
      <c r="C221" s="18"/>
      <c r="D221" s="18"/>
      <c r="E221" s="18"/>
      <c r="F221" s="18"/>
      <c r="G221" s="18"/>
      <c r="H221" s="18"/>
      <c r="I221" s="18"/>
      <c r="J221" s="18"/>
      <c r="K221" s="556" t="s">
        <v>272</v>
      </c>
      <c r="L221" s="557"/>
      <c r="M221" s="188" t="str">
        <f>M50</f>
        <v>Custom effect, not adjusted</v>
      </c>
      <c r="N221" s="188" t="str">
        <f>N50</f>
        <v>Custom effect, not adjusted</v>
      </c>
      <c r="O221" s="188" t="str">
        <f>O50</f>
        <v>Custom effect, adjusted</v>
      </c>
      <c r="P221" s="188" t="str">
        <f>P50</f>
        <v>Custom effect, adjusted</v>
      </c>
      <c r="Q221" s="55"/>
      <c r="R221" s="55"/>
      <c r="S221" s="55"/>
      <c r="T221" s="55"/>
      <c r="U221" s="55"/>
      <c r="V221" s="55"/>
      <c r="W221" s="55"/>
      <c r="X221" s="55"/>
      <c r="Y221" s="55"/>
      <c r="Z221" s="55"/>
      <c r="AA221" s="55"/>
      <c r="AB221" s="556" t="s">
        <v>272</v>
      </c>
      <c r="AC221" s="557"/>
      <c r="AD221" s="375" t="str">
        <f>AD50</f>
        <v>Custom effect, not adjusted</v>
      </c>
      <c r="AE221" s="375" t="str">
        <f>AE50</f>
        <v>Custom effect, not adjusted</v>
      </c>
      <c r="AF221" s="375" t="str">
        <f>AF50</f>
        <v>Custom effect, adjusted</v>
      </c>
      <c r="AG221" s="375" t="str">
        <f>AG50</f>
        <v>Custom effect, adjusted</v>
      </c>
      <c r="AH221" s="55"/>
      <c r="AI221" s="55"/>
      <c r="AJ221" s="55"/>
      <c r="AK221" s="55"/>
      <c r="AL221" s="55"/>
    </row>
    <row r="222" spans="1:38" s="8" customFormat="1" ht="12" customHeight="1" x14ac:dyDescent="0.2">
      <c r="A222" s="38"/>
      <c r="B222" s="18"/>
      <c r="C222" s="18"/>
      <c r="D222" s="18"/>
      <c r="E222" s="18"/>
      <c r="F222" s="18"/>
      <c r="G222" s="18"/>
      <c r="H222" s="18"/>
      <c r="I222" s="18"/>
      <c r="J222" s="18"/>
      <c r="K222" s="154"/>
      <c r="L222" s="180" t="s">
        <v>266</v>
      </c>
      <c r="M222" s="176">
        <f>$F$42</f>
        <v>90</v>
      </c>
      <c r="N222" s="176">
        <f>$F$42</f>
        <v>90</v>
      </c>
      <c r="O222" s="176">
        <f>$F$42</f>
        <v>90</v>
      </c>
      <c r="P222" s="176">
        <f>$F$42</f>
        <v>90</v>
      </c>
      <c r="Q222" s="38"/>
      <c r="R222" s="38"/>
      <c r="S222" s="55"/>
      <c r="T222" s="55"/>
      <c r="U222" s="55"/>
      <c r="V222" s="55"/>
      <c r="W222" s="55"/>
      <c r="X222" s="55"/>
      <c r="Y222" s="55"/>
      <c r="Z222" s="55"/>
      <c r="AA222" s="55"/>
      <c r="AB222" s="154"/>
      <c r="AC222" s="180" t="s">
        <v>266</v>
      </c>
      <c r="AD222" s="176">
        <f>$F$42</f>
        <v>90</v>
      </c>
      <c r="AE222" s="176">
        <f>$F$42</f>
        <v>90</v>
      </c>
      <c r="AF222" s="176">
        <f>$F$42</f>
        <v>90</v>
      </c>
      <c r="AG222" s="176">
        <f>$F$42</f>
        <v>90</v>
      </c>
      <c r="AH222" s="38"/>
      <c r="AI222" s="38"/>
      <c r="AJ222" s="38"/>
      <c r="AK222" s="38"/>
      <c r="AL222" s="38"/>
    </row>
    <row r="223" spans="1:38" s="8" customFormat="1" ht="12.95" customHeight="1" x14ac:dyDescent="0.2">
      <c r="A223" s="38"/>
      <c r="B223" s="18"/>
      <c r="C223" s="18"/>
      <c r="D223" s="18"/>
      <c r="E223" s="18"/>
      <c r="F223" s="18"/>
      <c r="G223" s="18"/>
      <c r="H223" s="18"/>
      <c r="I223" s="18"/>
      <c r="J223" s="18"/>
      <c r="K223" s="154"/>
      <c r="L223" s="433" t="s">
        <v>250</v>
      </c>
      <c r="M223" s="196">
        <f>M106/M73</f>
        <v>1.6539010549132518</v>
      </c>
      <c r="N223" s="196">
        <f>N106/N73</f>
        <v>1.6539010549132518</v>
      </c>
      <c r="O223" s="196">
        <f>O106/O73</f>
        <v>1.0993872903711095</v>
      </c>
      <c r="P223" s="196">
        <f>P106/P73</f>
        <v>1.0993872903711095</v>
      </c>
      <c r="Q223" s="38"/>
      <c r="R223" s="38"/>
      <c r="S223" s="55"/>
      <c r="T223" s="55"/>
      <c r="U223" s="55"/>
      <c r="V223" s="55"/>
      <c r="W223" s="55"/>
      <c r="X223" s="55"/>
      <c r="Y223" s="55"/>
      <c r="Z223" s="55"/>
      <c r="AA223" s="55"/>
      <c r="AB223" s="154"/>
      <c r="AC223" s="433" t="s">
        <v>250</v>
      </c>
      <c r="AD223" s="196">
        <f>AD106/AD73</f>
        <v>1.6401995903318836</v>
      </c>
      <c r="AE223" s="196">
        <f>AE106/AE73</f>
        <v>1.6401995903318836</v>
      </c>
      <c r="AF223" s="196">
        <f>AF106/AF73</f>
        <v>1.0823932897107382</v>
      </c>
      <c r="AG223" s="196">
        <f>AG106/AG73</f>
        <v>1.0823932897107382</v>
      </c>
      <c r="AH223" s="38"/>
      <c r="AI223" s="38"/>
      <c r="AJ223" s="38"/>
      <c r="AK223" s="38"/>
      <c r="AL223" s="38"/>
    </row>
    <row r="224" spans="1:38" s="8" customFormat="1" ht="13.15" customHeight="1" x14ac:dyDescent="0.2">
      <c r="A224" s="38"/>
      <c r="B224" s="18"/>
      <c r="C224" s="18"/>
      <c r="D224" s="18"/>
      <c r="E224" s="18"/>
      <c r="F224" s="18"/>
      <c r="G224" s="18"/>
      <c r="H224" s="18"/>
      <c r="I224" s="18"/>
      <c r="J224" s="18"/>
      <c r="K224" s="558" t="s">
        <v>269</v>
      </c>
      <c r="L224" s="402" t="s">
        <v>9</v>
      </c>
      <c r="M224" s="194">
        <f>SQRT(FINV((1-(100-M222)/100/2),M75,M108))*M223</f>
        <v>1.1231937710300286</v>
      </c>
      <c r="N224" s="194">
        <f>SQRT(FINV((1-(100-N222)/100/2),N75,N108))*N223</f>
        <v>1.1231937710300286</v>
      </c>
      <c r="O224" s="194">
        <f>SQRT(FINV((1-(100-O222)/100/2),O75,O108))*O223</f>
        <v>0.72938492969769397</v>
      </c>
      <c r="P224" s="194">
        <f>SQRT(FINV((1-(100-P222)/100/2),P75,P108))*P223</f>
        <v>0.72938492969769397</v>
      </c>
      <c r="Q224" s="38"/>
      <c r="R224" s="38"/>
      <c r="S224" s="55"/>
      <c r="T224" s="55"/>
      <c r="U224" s="55"/>
      <c r="V224" s="55"/>
      <c r="W224" s="55"/>
      <c r="X224" s="55"/>
      <c r="Y224" s="55"/>
      <c r="Z224" s="55"/>
      <c r="AA224" s="55"/>
      <c r="AB224" s="558" t="s">
        <v>269</v>
      </c>
      <c r="AC224" s="402" t="s">
        <v>9</v>
      </c>
      <c r="AD224" s="194">
        <f>SQRT(FINV((1-(100-AD222)/100/2),AD75,AD108))*AD223</f>
        <v>1.1138888615095563</v>
      </c>
      <c r="AE224" s="194">
        <f>SQRT(FINV((1-(100-AE222)/100/2),AE75,AE108))*AE223</f>
        <v>1.1138888615095563</v>
      </c>
      <c r="AF224" s="194">
        <f>SQRT(FINV((1-(100-AF222)/100/2),AF75,AF108))*AF223</f>
        <v>0.71811031511418044</v>
      </c>
      <c r="AG224" s="194">
        <f>SQRT(FINV((1-(100-AG222)/100/2),AG75,AG108))*AG223</f>
        <v>0.71811031511418044</v>
      </c>
      <c r="AH224" s="38"/>
      <c r="AI224" s="38"/>
      <c r="AJ224" s="38"/>
      <c r="AK224" s="38"/>
      <c r="AL224" s="38"/>
    </row>
    <row r="225" spans="1:38" s="8" customFormat="1" ht="12.95" customHeight="1" x14ac:dyDescent="0.2">
      <c r="A225" s="38"/>
      <c r="B225" s="18"/>
      <c r="C225" s="18"/>
      <c r="D225" s="18"/>
      <c r="E225" s="18"/>
      <c r="F225" s="18"/>
      <c r="G225" s="18"/>
      <c r="H225" s="18"/>
      <c r="I225" s="18"/>
      <c r="J225" s="18"/>
      <c r="K225" s="559"/>
      <c r="L225" s="403" t="s">
        <v>10</v>
      </c>
      <c r="M225" s="195">
        <f>SQRT(FINV((100-M222)/100/2,M75,M108))*M223</f>
        <v>2.4353666927253967</v>
      </c>
      <c r="N225" s="195">
        <f>SQRT(FINV((100-N222)/100/2,N75,N108))*N223</f>
        <v>2.4353666927253967</v>
      </c>
      <c r="O225" s="195">
        <f>SQRT(FINV((100-O222)/100/2,O75,O108))*O223</f>
        <v>1.6570844351424663</v>
      </c>
      <c r="P225" s="195">
        <f>SQRT(FINV((100-P222)/100/2,P75,P108))*P223</f>
        <v>1.6570844351424663</v>
      </c>
      <c r="Q225" s="38"/>
      <c r="R225" s="38"/>
      <c r="S225" s="55"/>
      <c r="T225" s="55"/>
      <c r="U225" s="55"/>
      <c r="V225" s="55"/>
      <c r="W225" s="55"/>
      <c r="X225" s="55"/>
      <c r="Y225" s="55"/>
      <c r="Z225" s="55"/>
      <c r="AA225" s="55"/>
      <c r="AB225" s="559"/>
      <c r="AC225" s="403" t="s">
        <v>10</v>
      </c>
      <c r="AD225" s="195">
        <f>SQRT(FINV((100-AD222)/100/2,AD75,AD108))*AD223</f>
        <v>2.4151913077566927</v>
      </c>
      <c r="AE225" s="195">
        <f>SQRT(FINV((100-AE222)/100/2,AE75,AE108))*AE223</f>
        <v>2.4151913077566927</v>
      </c>
      <c r="AF225" s="195">
        <f>SQRT(FINV((100-AF222)/100/2,AF75,AF108))*AF223</f>
        <v>1.6314697184436802</v>
      </c>
      <c r="AG225" s="195">
        <f>SQRT(FINV((100-AG222)/100/2,AG75,AG108))*AG223</f>
        <v>1.6314697184436802</v>
      </c>
      <c r="AH225" s="38"/>
      <c r="AI225" s="38"/>
      <c r="AJ225" s="38"/>
      <c r="AK225" s="38"/>
      <c r="AL225" s="38"/>
    </row>
    <row r="226" spans="1:38" s="8" customFormat="1" ht="12.95" customHeight="1" x14ac:dyDescent="0.2">
      <c r="A226" s="38"/>
      <c r="B226" s="18"/>
      <c r="C226" s="18"/>
      <c r="D226" s="18"/>
      <c r="E226" s="18"/>
      <c r="F226" s="18"/>
      <c r="G226" s="18"/>
      <c r="H226" s="18"/>
      <c r="I226" s="18"/>
      <c r="J226" s="18"/>
      <c r="K226" s="560"/>
      <c r="L226" s="186" t="s">
        <v>251</v>
      </c>
      <c r="M226" s="196">
        <f t="shared" ref="M226:P226" si="173">SQRT(M225/M224)</f>
        <v>1.4724984215292936</v>
      </c>
      <c r="N226" s="196">
        <f t="shared" si="173"/>
        <v>1.4724984215292936</v>
      </c>
      <c r="O226" s="196">
        <f t="shared" si="173"/>
        <v>1.5072799637178815</v>
      </c>
      <c r="P226" s="196">
        <f t="shared" si="173"/>
        <v>1.5072799637178815</v>
      </c>
      <c r="Q226" s="38"/>
      <c r="R226" s="38"/>
      <c r="S226" s="55"/>
      <c r="T226" s="55"/>
      <c r="U226" s="55"/>
      <c r="V226" s="55"/>
      <c r="W226" s="55"/>
      <c r="X226" s="55"/>
      <c r="Y226" s="55"/>
      <c r="Z226" s="55"/>
      <c r="AA226" s="55"/>
      <c r="AB226" s="560"/>
      <c r="AC226" s="186" t="s">
        <v>251</v>
      </c>
      <c r="AD226" s="196">
        <f>SQRT(AD225/AD224)</f>
        <v>1.4724984215292936</v>
      </c>
      <c r="AE226" s="196">
        <f t="shared" ref="AE226:AG226" si="174">SQRT(AE225/AE224)</f>
        <v>1.4724984215292936</v>
      </c>
      <c r="AF226" s="196">
        <f t="shared" si="174"/>
        <v>1.5072799637178815</v>
      </c>
      <c r="AG226" s="196">
        <f t="shared" si="174"/>
        <v>1.5072799637178815</v>
      </c>
      <c r="AH226" s="38"/>
      <c r="AI226" s="38"/>
      <c r="AJ226" s="38"/>
      <c r="AK226" s="38"/>
      <c r="AL226" s="38"/>
    </row>
    <row r="227" spans="1:38" s="407" customFormat="1" ht="13.15" customHeight="1" x14ac:dyDescent="0.2">
      <c r="A227" s="21"/>
      <c r="B227" s="18"/>
      <c r="C227" s="18"/>
      <c r="D227" s="18"/>
      <c r="E227" s="18"/>
      <c r="F227" s="18"/>
      <c r="G227" s="18"/>
      <c r="H227" s="18"/>
      <c r="I227" s="18"/>
      <c r="J227" s="18"/>
      <c r="K227" s="561" t="s">
        <v>87</v>
      </c>
      <c r="L227" s="204" t="s">
        <v>101</v>
      </c>
      <c r="M227" s="371" t="str">
        <f>IF($C$36&amp;$C$39="","",IF(ISBLANK($C$39),SQRT(1+($C$36/M73)^2/4),SQRT(1+($C$39*$F$135/M73)^2/4)))</f>
        <v/>
      </c>
      <c r="N227" s="371" t="str">
        <f t="shared" ref="N227:P227" si="175">IF($C$36&amp;$C$39="","",IF(ISBLANK($C$39),SQRT(1+($C$36/N73)^2/4),SQRT(1+($C$39*$F$135/N73)^2/4)))</f>
        <v/>
      </c>
      <c r="O227" s="371" t="str">
        <f t="shared" si="175"/>
        <v/>
      </c>
      <c r="P227" s="371" t="str">
        <f t="shared" si="175"/>
        <v/>
      </c>
      <c r="Q227" s="21"/>
      <c r="R227" s="21"/>
      <c r="S227" s="55"/>
      <c r="T227" s="55"/>
      <c r="U227" s="55"/>
      <c r="V227" s="55"/>
      <c r="W227" s="55"/>
      <c r="X227" s="55"/>
      <c r="Y227" s="55"/>
      <c r="Z227" s="55"/>
      <c r="AA227" s="55"/>
      <c r="AB227" s="561" t="s">
        <v>87</v>
      </c>
      <c r="AC227" s="204" t="s">
        <v>101</v>
      </c>
      <c r="AD227" s="371" t="str">
        <f>IF($C$37&amp;$C$38&amp;$C$39="","",IF(ISBLANK($C$39),IF(ISBLANK($C$38),SQRT(1+(100*LN(1+$C$37/100)/AD73)^2/4),SQRT(1+(100*LN($C$38)/AD73)^2/4)),SQRT(1+($C$39*$W$135/AD73)^2/4)))</f>
        <v/>
      </c>
      <c r="AE227" s="371" t="str">
        <f t="shared" ref="AE227:AG227" si="176">IF($C$37&amp;$C$38&amp;$C$39="","",IF(ISBLANK($C$39),IF(ISBLANK($C$38),SQRT(1+(100*LN(1+$C$37/100)/AE73)^2/4),SQRT(1+(100*LN($C$38)/AE73)^2/4)),SQRT(1+($C$39*$W$135/AE73)^2/4)))</f>
        <v/>
      </c>
      <c r="AF227" s="371" t="str">
        <f t="shared" si="176"/>
        <v/>
      </c>
      <c r="AG227" s="371" t="str">
        <f t="shared" si="176"/>
        <v/>
      </c>
      <c r="AH227" s="21"/>
      <c r="AI227" s="21"/>
      <c r="AJ227" s="21"/>
      <c r="AK227" s="21"/>
      <c r="AL227" s="21"/>
    </row>
    <row r="228" spans="1:38" s="407" customFormat="1" ht="12.95" customHeight="1" x14ac:dyDescent="0.2">
      <c r="A228" s="21"/>
      <c r="B228" s="18"/>
      <c r="C228" s="18"/>
      <c r="D228" s="18"/>
      <c r="E228" s="18"/>
      <c r="F228" s="18"/>
      <c r="G228" s="18"/>
      <c r="H228" s="18"/>
      <c r="I228" s="18"/>
      <c r="J228" s="18"/>
      <c r="K228" s="562"/>
      <c r="L228" s="204" t="s">
        <v>102</v>
      </c>
      <c r="M228" s="371" t="str">
        <f>IF($C$36&amp;$C$39="","",1/IF(ISBLANK($C$39),SQRT(1+($C$36/M106)^2/4),SQRT(1+($C$39*$F$135/M106)^2/4)))</f>
        <v/>
      </c>
      <c r="N228" s="371" t="str">
        <f t="shared" ref="N228:P228" si="177">IF($C$36&amp;$C$39="","",1/IF(ISBLANK($C$39),SQRT(1+($C$36/N106)^2/4),SQRT(1+($C$39*$F$135/N106)^2/4)))</f>
        <v/>
      </c>
      <c r="O228" s="371" t="str">
        <f t="shared" si="177"/>
        <v/>
      </c>
      <c r="P228" s="371" t="str">
        <f t="shared" si="177"/>
        <v/>
      </c>
      <c r="Q228" s="21"/>
      <c r="R228" s="21"/>
      <c r="S228" s="55"/>
      <c r="T228" s="55"/>
      <c r="U228" s="55"/>
      <c r="V228" s="55"/>
      <c r="W228" s="55"/>
      <c r="X228" s="55"/>
      <c r="Y228" s="55"/>
      <c r="Z228" s="55"/>
      <c r="AA228" s="55"/>
      <c r="AB228" s="562"/>
      <c r="AC228" s="204" t="s">
        <v>102</v>
      </c>
      <c r="AD228" s="371" t="str">
        <f>IF($C$37&amp;$C$38&amp;$C$39="","",1/IF(ISBLANK($C$39),IF(ISBLANK($C$38),SQRT(1+(100*LN(1+$C$37/100)/AD106)^2/4),SQRT(1+(100*LN($C$38)/AD106)^2/4)),SQRT(1+($C$39*$W$135/AD106)^2/4)))</f>
        <v/>
      </c>
      <c r="AE228" s="371" t="str">
        <f t="shared" ref="AE228:AG228" si="178">IF($C$37&amp;$C$38&amp;$C$39="","",1/IF(ISBLANK($C$39),IF(ISBLANK($C$38),SQRT(1+(100*LN(1+$C$37/100)/AE106)^2/4),SQRT(1+(100*LN($C$38)/AE106)^2/4)),SQRT(1+($C$39*$W$135/AE106)^2/4)))</f>
        <v/>
      </c>
      <c r="AF228" s="371" t="str">
        <f t="shared" si="178"/>
        <v/>
      </c>
      <c r="AG228" s="371" t="str">
        <f t="shared" si="178"/>
        <v/>
      </c>
      <c r="AH228" s="21"/>
      <c r="AI228" s="21"/>
      <c r="AJ228" s="21"/>
      <c r="AK228" s="21"/>
      <c r="AL228" s="21"/>
    </row>
    <row r="229" spans="1:38" s="407" customFormat="1" ht="12.95" customHeight="1" x14ac:dyDescent="0.2">
      <c r="A229" s="21"/>
      <c r="B229" s="18"/>
      <c r="C229" s="18"/>
      <c r="D229" s="18"/>
      <c r="E229" s="18"/>
      <c r="F229" s="18"/>
      <c r="G229" s="18"/>
      <c r="H229" s="18"/>
      <c r="I229" s="18"/>
      <c r="J229" s="18"/>
      <c r="K229" s="561" t="s">
        <v>157</v>
      </c>
      <c r="L229" s="564" t="s">
        <v>103</v>
      </c>
      <c r="M229" s="545" t="e">
        <f>100*FDIST(1/M223^2*M227^2,M75,M108)</f>
        <v>#VALUE!</v>
      </c>
      <c r="N229" s="545" t="e">
        <f>100*FDIST(1/N223^2*N227^2,N75,N108)</f>
        <v>#VALUE!</v>
      </c>
      <c r="O229" s="545" t="e">
        <f>100*FDIST(1/O223^2*O227^2,O75,O108)</f>
        <v>#VALUE!</v>
      </c>
      <c r="P229" s="545" t="e">
        <f>100*FDIST(1/P223^2*P227^2,P75,P108)</f>
        <v>#VALUE!</v>
      </c>
      <c r="Q229" s="21"/>
      <c r="R229" s="21"/>
      <c r="S229" s="55"/>
      <c r="T229" s="55"/>
      <c r="U229" s="55"/>
      <c r="V229" s="55"/>
      <c r="W229" s="55"/>
      <c r="X229" s="55"/>
      <c r="Y229" s="55"/>
      <c r="Z229" s="55"/>
      <c r="AA229" s="55"/>
      <c r="AB229" s="561" t="s">
        <v>157</v>
      </c>
      <c r="AC229" s="564" t="s">
        <v>103</v>
      </c>
      <c r="AD229" s="545" t="e">
        <f>100*FDIST(1/AD223^2*AD227^2,AD75,AD108)</f>
        <v>#VALUE!</v>
      </c>
      <c r="AE229" s="545" t="e">
        <f>100*FDIST(1/AE223^2*AE227^2,AE75,AE108)</f>
        <v>#VALUE!</v>
      </c>
      <c r="AF229" s="545" t="e">
        <f>100*FDIST(1/AF223^2*AF227^2,AF75,AF108)</f>
        <v>#VALUE!</v>
      </c>
      <c r="AG229" s="545" t="e">
        <f>100*FDIST(1/AG223^2*AG227^2,AG75,AG108)</f>
        <v>#VALUE!</v>
      </c>
      <c r="AH229" s="21"/>
      <c r="AI229" s="21"/>
      <c r="AJ229" s="21"/>
      <c r="AK229" s="21"/>
      <c r="AL229" s="21"/>
    </row>
    <row r="230" spans="1:38" s="407" customFormat="1" ht="30.95" customHeight="1" x14ac:dyDescent="0.2">
      <c r="A230" s="21"/>
      <c r="B230" s="18"/>
      <c r="C230" s="18"/>
      <c r="D230" s="18"/>
      <c r="E230" s="18"/>
      <c r="F230" s="18"/>
      <c r="G230" s="18"/>
      <c r="H230" s="18"/>
      <c r="I230" s="18"/>
      <c r="J230" s="18"/>
      <c r="K230" s="563"/>
      <c r="L230" s="565"/>
      <c r="M230" s="409" t="e">
        <f t="shared" ref="M230:P230" si="179">IF(M229&lt;0.5,"most unlikely",IF(M229&lt;5,"very unlikely",IF(M229&lt;25,"unlikely",IF(M229&lt;75,"possibly",IF(M229&lt;95,"likely",IF(M229&lt;99.5,"very likely","most likely"))))))</f>
        <v>#VALUE!</v>
      </c>
      <c r="N230" s="409" t="e">
        <f t="shared" si="179"/>
        <v>#VALUE!</v>
      </c>
      <c r="O230" s="409" t="e">
        <f t="shared" si="179"/>
        <v>#VALUE!</v>
      </c>
      <c r="P230" s="409" t="e">
        <f t="shared" si="179"/>
        <v>#VALUE!</v>
      </c>
      <c r="Q230" s="21"/>
      <c r="R230" s="21"/>
      <c r="S230" s="55"/>
      <c r="T230" s="55"/>
      <c r="U230" s="55"/>
      <c r="V230" s="55"/>
      <c r="W230" s="55"/>
      <c r="X230" s="55"/>
      <c r="Y230" s="55"/>
      <c r="Z230" s="55"/>
      <c r="AA230" s="55"/>
      <c r="AB230" s="563"/>
      <c r="AC230" s="565"/>
      <c r="AD230" s="409" t="e">
        <f>IF(AD229&lt;0.5,"most unlikely",IF(AD229&lt;5,"very unlikely",IF(AD229&lt;25,"unlikely",IF(AD229&lt;75,"possibly",IF(AD229&lt;95,"likely",IF(AD229&lt;99.5,"very likely","most likely"))))))</f>
        <v>#VALUE!</v>
      </c>
      <c r="AE230" s="409" t="e">
        <f t="shared" ref="AE230:AG230" si="180">IF(AE229&lt;0.5,"most unlikely",IF(AE229&lt;5,"very unlikely",IF(AE229&lt;25,"unlikely",IF(AE229&lt;75,"possibly",IF(AE229&lt;95,"likely",IF(AE229&lt;99.5,"very likely","most likely"))))))</f>
        <v>#VALUE!</v>
      </c>
      <c r="AF230" s="409" t="e">
        <f t="shared" si="180"/>
        <v>#VALUE!</v>
      </c>
      <c r="AG230" s="409" t="e">
        <f t="shared" si="180"/>
        <v>#VALUE!</v>
      </c>
      <c r="AH230" s="21"/>
      <c r="AI230" s="21"/>
      <c r="AJ230" s="21"/>
      <c r="AK230" s="21"/>
      <c r="AL230" s="21"/>
    </row>
    <row r="231" spans="1:38" s="407" customFormat="1" ht="12.95" customHeight="1" x14ac:dyDescent="0.2">
      <c r="A231" s="21"/>
      <c r="B231" s="18"/>
      <c r="C231" s="18"/>
      <c r="D231" s="18"/>
      <c r="E231" s="18"/>
      <c r="F231" s="18"/>
      <c r="G231" s="18"/>
      <c r="H231" s="18"/>
      <c r="I231" s="18"/>
      <c r="J231" s="18"/>
      <c r="K231" s="563"/>
      <c r="L231" s="566" t="s">
        <v>12</v>
      </c>
      <c r="M231" s="545" t="e">
        <f t="shared" ref="M231:P231" si="181">100-M229-M233</f>
        <v>#VALUE!</v>
      </c>
      <c r="N231" s="545" t="e">
        <f t="shared" si="181"/>
        <v>#VALUE!</v>
      </c>
      <c r="O231" s="545" t="e">
        <f t="shared" si="181"/>
        <v>#VALUE!</v>
      </c>
      <c r="P231" s="545" t="e">
        <f t="shared" si="181"/>
        <v>#VALUE!</v>
      </c>
      <c r="Q231" s="21"/>
      <c r="R231" s="21"/>
      <c r="S231" s="55"/>
      <c r="T231" s="55"/>
      <c r="U231" s="55"/>
      <c r="V231" s="55"/>
      <c r="W231" s="55"/>
      <c r="X231" s="55"/>
      <c r="Y231" s="55"/>
      <c r="Z231" s="55"/>
      <c r="AA231" s="55"/>
      <c r="AB231" s="563"/>
      <c r="AC231" s="566" t="s">
        <v>12</v>
      </c>
      <c r="AD231" s="545" t="e">
        <f>100-AD229-AD233</f>
        <v>#VALUE!</v>
      </c>
      <c r="AE231" s="545" t="e">
        <f t="shared" ref="AE231:AG231" si="182">100-AE229-AE233</f>
        <v>#VALUE!</v>
      </c>
      <c r="AF231" s="545" t="e">
        <f t="shared" si="182"/>
        <v>#VALUE!</v>
      </c>
      <c r="AG231" s="545" t="e">
        <f t="shared" si="182"/>
        <v>#VALUE!</v>
      </c>
      <c r="AH231" s="21"/>
      <c r="AI231" s="21"/>
      <c r="AJ231" s="21"/>
      <c r="AK231" s="21"/>
      <c r="AL231" s="21"/>
    </row>
    <row r="232" spans="1:38" s="407" customFormat="1" ht="30.95" customHeight="1" x14ac:dyDescent="0.2">
      <c r="A232" s="21"/>
      <c r="B232" s="18"/>
      <c r="C232" s="18"/>
      <c r="D232" s="18"/>
      <c r="E232" s="18"/>
      <c r="F232" s="18"/>
      <c r="G232" s="18"/>
      <c r="H232" s="18"/>
      <c r="I232" s="18"/>
      <c r="J232" s="18"/>
      <c r="K232" s="563"/>
      <c r="L232" s="567"/>
      <c r="M232" s="409" t="e">
        <f t="shared" ref="M232:P232" si="183">IF(M231&lt;0.5,"most unlikely",IF(M231&lt;5,"very unlikely",IF(M231&lt;25,"unlikely",IF(M231&lt;75,"possibly",IF(M231&lt;95,"likely",IF(M231&lt;99.5,"very likely","most likely"))))))</f>
        <v>#VALUE!</v>
      </c>
      <c r="N232" s="409" t="e">
        <f t="shared" si="183"/>
        <v>#VALUE!</v>
      </c>
      <c r="O232" s="409" t="e">
        <f t="shared" si="183"/>
        <v>#VALUE!</v>
      </c>
      <c r="P232" s="409" t="e">
        <f t="shared" si="183"/>
        <v>#VALUE!</v>
      </c>
      <c r="Q232" s="21"/>
      <c r="R232" s="21"/>
      <c r="S232" s="55"/>
      <c r="T232" s="55"/>
      <c r="U232" s="55"/>
      <c r="V232" s="55"/>
      <c r="W232" s="55"/>
      <c r="X232" s="55"/>
      <c r="Y232" s="55"/>
      <c r="Z232" s="55"/>
      <c r="AA232" s="55"/>
      <c r="AB232" s="563"/>
      <c r="AC232" s="567"/>
      <c r="AD232" s="409" t="e">
        <f>IF(AD231&lt;0.5,"most unlikely",IF(AD231&lt;5,"very unlikely",IF(AD231&lt;25,"unlikely",IF(AD231&lt;75,"possibly",IF(AD231&lt;95,"likely",IF(AD231&lt;99.5,"very likely","most likely"))))))</f>
        <v>#VALUE!</v>
      </c>
      <c r="AE232" s="409" t="e">
        <f t="shared" ref="AE232:AG232" si="184">IF(AE231&lt;0.5,"most unlikely",IF(AE231&lt;5,"very unlikely",IF(AE231&lt;25,"unlikely",IF(AE231&lt;75,"possibly",IF(AE231&lt;95,"likely",IF(AE231&lt;99.5,"very likely","most likely"))))))</f>
        <v>#VALUE!</v>
      </c>
      <c r="AF232" s="409" t="e">
        <f t="shared" si="184"/>
        <v>#VALUE!</v>
      </c>
      <c r="AG232" s="409" t="e">
        <f t="shared" si="184"/>
        <v>#VALUE!</v>
      </c>
      <c r="AH232" s="21"/>
      <c r="AI232" s="21"/>
      <c r="AJ232" s="21"/>
      <c r="AK232" s="21"/>
      <c r="AL232" s="21"/>
    </row>
    <row r="233" spans="1:38" s="407" customFormat="1" ht="12.95" customHeight="1" x14ac:dyDescent="0.2">
      <c r="A233" s="21"/>
      <c r="B233" s="18"/>
      <c r="C233" s="18"/>
      <c r="D233" s="18"/>
      <c r="E233" s="18"/>
      <c r="F233" s="18"/>
      <c r="G233" s="18"/>
      <c r="H233" s="18"/>
      <c r="I233" s="18"/>
      <c r="J233" s="18"/>
      <c r="K233" s="563"/>
      <c r="L233" s="568" t="s">
        <v>104</v>
      </c>
      <c r="M233" s="545" t="e">
        <f>100-100*FDIST(1/M223^2*M228^2,M75,M108)</f>
        <v>#VALUE!</v>
      </c>
      <c r="N233" s="545" t="e">
        <f>100-100*FDIST(1/N223^2*N228^2,N75,N108)</f>
        <v>#VALUE!</v>
      </c>
      <c r="O233" s="545" t="e">
        <f>100-100*FDIST(1/O223^2*O228^2,O75,O108)</f>
        <v>#VALUE!</v>
      </c>
      <c r="P233" s="545" t="e">
        <f>100-100*FDIST(1/P223^2*P228^2,P75,P108)</f>
        <v>#VALUE!</v>
      </c>
      <c r="Q233" s="205"/>
      <c r="R233" s="205"/>
      <c r="S233" s="55"/>
      <c r="T233" s="55"/>
      <c r="U233" s="55"/>
      <c r="V233" s="55"/>
      <c r="W233" s="55"/>
      <c r="X233" s="55"/>
      <c r="Y233" s="55"/>
      <c r="Z233" s="55"/>
      <c r="AA233" s="55"/>
      <c r="AB233" s="563"/>
      <c r="AC233" s="568" t="s">
        <v>104</v>
      </c>
      <c r="AD233" s="545" t="e">
        <f>100-100*FDIST(1/AD223^2*AD228^2,AD75,AD108)</f>
        <v>#VALUE!</v>
      </c>
      <c r="AE233" s="545" t="e">
        <f>100-100*FDIST(1/AE223^2*AE228^2,AE75,AE108)</f>
        <v>#VALUE!</v>
      </c>
      <c r="AF233" s="545" t="e">
        <f>100-100*FDIST(1/AF223^2*AF228^2,AF75,AF108)</f>
        <v>#VALUE!</v>
      </c>
      <c r="AG233" s="545" t="e">
        <f>100-100*FDIST(1/AG223^2*AG228^2,AG75,AG108)</f>
        <v>#VALUE!</v>
      </c>
      <c r="AH233" s="21"/>
      <c r="AI233" s="21"/>
      <c r="AJ233" s="21"/>
      <c r="AK233" s="21"/>
      <c r="AL233" s="21"/>
    </row>
    <row r="234" spans="1:38" s="407" customFormat="1" ht="30.95" customHeight="1" x14ac:dyDescent="0.2">
      <c r="A234" s="21"/>
      <c r="B234" s="18"/>
      <c r="C234" s="18"/>
      <c r="D234" s="18"/>
      <c r="E234" s="18"/>
      <c r="F234" s="18"/>
      <c r="G234" s="18"/>
      <c r="H234" s="18"/>
      <c r="I234" s="18"/>
      <c r="J234" s="18"/>
      <c r="K234" s="562"/>
      <c r="L234" s="569"/>
      <c r="M234" s="409" t="e">
        <f t="shared" ref="M234:P234" si="185">IF(M233&lt;0.5,"most unlikely",IF(M233&lt;5,"very unlikely",IF(M233&lt;25,"unlikely",IF(M233&lt;75,"possibly",IF(M233&lt;95,"likely",IF(M233&lt;99.5,"very likely","most likely"))))))</f>
        <v>#VALUE!</v>
      </c>
      <c r="N234" s="409" t="e">
        <f t="shared" si="185"/>
        <v>#VALUE!</v>
      </c>
      <c r="O234" s="409" t="e">
        <f t="shared" si="185"/>
        <v>#VALUE!</v>
      </c>
      <c r="P234" s="409" t="e">
        <f t="shared" si="185"/>
        <v>#VALUE!</v>
      </c>
      <c r="Q234" s="21"/>
      <c r="R234" s="21"/>
      <c r="S234" s="55"/>
      <c r="T234" s="55"/>
      <c r="U234" s="55"/>
      <c r="V234" s="55"/>
      <c r="W234" s="55"/>
      <c r="X234" s="55"/>
      <c r="Y234" s="55"/>
      <c r="Z234" s="55"/>
      <c r="AA234" s="55"/>
      <c r="AB234" s="562"/>
      <c r="AC234" s="569"/>
      <c r="AD234" s="409" t="e">
        <f>IF(AD233&lt;0.5,"most unlikely",IF(AD233&lt;5,"very unlikely",IF(AD233&lt;25,"unlikely",IF(AD233&lt;75,"possibly",IF(AD233&lt;95,"likely",IF(AD233&lt;99.5,"very likely","most likely"))))))</f>
        <v>#VALUE!</v>
      </c>
      <c r="AE234" s="409" t="e">
        <f t="shared" ref="AE234:AG234" si="186">IF(AE233&lt;0.5,"most unlikely",IF(AE233&lt;5,"very unlikely",IF(AE233&lt;25,"unlikely",IF(AE233&lt;75,"possibly",IF(AE233&lt;95,"likely",IF(AE233&lt;99.5,"very likely","most likely"))))))</f>
        <v>#VALUE!</v>
      </c>
      <c r="AF234" s="409" t="e">
        <f t="shared" si="186"/>
        <v>#VALUE!</v>
      </c>
      <c r="AG234" s="409" t="e">
        <f t="shared" si="186"/>
        <v>#VALUE!</v>
      </c>
      <c r="AH234" s="21"/>
      <c r="AI234" s="21"/>
      <c r="AJ234" s="21"/>
      <c r="AK234" s="21"/>
      <c r="AL234" s="21"/>
    </row>
    <row r="235" spans="1:38" s="407" customFormat="1" ht="35.1" customHeight="1" x14ac:dyDescent="0.2">
      <c r="A235" s="21"/>
      <c r="B235" s="18"/>
      <c r="C235" s="18"/>
      <c r="D235" s="18"/>
      <c r="E235" s="18"/>
      <c r="F235" s="18"/>
      <c r="G235" s="18"/>
      <c r="H235" s="18"/>
      <c r="I235" s="18"/>
      <c r="J235" s="18"/>
      <c r="K235" s="570" t="str">
        <f>"Non-clinical  decision, based on threshold chances of "&amp;$F$44&amp;"% for substantial magnitudes"</f>
        <v>Non-clinical  decision, based on threshold chances of 5% for substantial magnitudes</v>
      </c>
      <c r="L235" s="571"/>
      <c r="M235" s="399" t="e">
        <f>IF(MIN(M229,M233)&gt;$F$44,"unclear; get more data",IF(M229&gt;25,M230&amp;" &gt;",IF(M233&gt;25,M234&amp;" &lt;",M232&amp;" trivial")))</f>
        <v>#VALUE!</v>
      </c>
      <c r="N235" s="399" t="e">
        <f t="shared" ref="N235:P235" si="187">IF(MIN(N229,N233)&gt;$F$44,"unclear; get more data",IF(N229&gt;25,N230&amp;" &gt;",IF(N233&gt;25,N234&amp;" &lt;",N232&amp;" trivial")))</f>
        <v>#VALUE!</v>
      </c>
      <c r="O235" s="399" t="e">
        <f t="shared" si="187"/>
        <v>#VALUE!</v>
      </c>
      <c r="P235" s="399" t="e">
        <f t="shared" si="187"/>
        <v>#VALUE!</v>
      </c>
      <c r="Q235" s="21"/>
      <c r="R235" s="21"/>
      <c r="S235" s="55"/>
      <c r="T235" s="55"/>
      <c r="U235" s="55"/>
      <c r="V235" s="55"/>
      <c r="W235" s="55"/>
      <c r="X235" s="55"/>
      <c r="Y235" s="55"/>
      <c r="Z235" s="55"/>
      <c r="AA235" s="55"/>
      <c r="AB235" s="570" t="str">
        <f>"Non-clinical  decision, based on threshold chances of "&amp;$F$44&amp;"% for substantial magnitudes"</f>
        <v>Non-clinical  decision, based on threshold chances of 5% for substantial magnitudes</v>
      </c>
      <c r="AC235" s="571"/>
      <c r="AD235" s="399" t="e">
        <f>IF(MIN(AD229,AD233)&gt;$F$44,"unclear; get more data",IF(AD229&gt;25,AD230&amp;" &gt;",IF(AD233&gt;25,AD234&amp;" &lt;",AD232&amp;" trivial")))</f>
        <v>#VALUE!</v>
      </c>
      <c r="AE235" s="399" t="e">
        <f t="shared" ref="AE235:AG235" si="188">IF(MIN(AE229,AE233)&gt;$F$44,"unclear; get more data",IF(AE229&gt;25,AE230&amp;" &gt;",IF(AE233&gt;25,AE234&amp;" &lt;",AE232&amp;" trivial")))</f>
        <v>#VALUE!</v>
      </c>
      <c r="AF235" s="399" t="e">
        <f t="shared" si="188"/>
        <v>#VALUE!</v>
      </c>
      <c r="AG235" s="399" t="e">
        <f t="shared" si="188"/>
        <v>#VALUE!</v>
      </c>
      <c r="AH235" s="21"/>
      <c r="AI235" s="21"/>
      <c r="AJ235" s="21"/>
      <c r="AK235" s="21"/>
      <c r="AL235" s="21"/>
    </row>
    <row r="236" spans="1:38" ht="13.9" customHeight="1" x14ac:dyDescent="0.2">
      <c r="A236" s="18"/>
      <c r="B236" s="18"/>
      <c r="C236" s="18"/>
      <c r="D236" s="18"/>
      <c r="E236" s="18"/>
      <c r="F236" s="18"/>
      <c r="G236" s="18"/>
      <c r="H236" s="18"/>
      <c r="I236" s="18"/>
      <c r="J236" s="18"/>
      <c r="K236" s="205"/>
      <c r="L236" s="372" t="str">
        <f>IF($C$36&amp;$C$39="","","Threshold ratios are derived from the smallest important "&amp;IF(ISBLANK($C$39),"raw","stdized")&amp;" effect.")</f>
        <v/>
      </c>
      <c r="M236" s="373"/>
      <c r="N236" s="373"/>
      <c r="O236" s="373"/>
      <c r="P236" s="373"/>
      <c r="Q236" s="18"/>
      <c r="R236" s="18"/>
      <c r="S236" s="55"/>
      <c r="T236" s="55"/>
      <c r="U236" s="55"/>
      <c r="V236" s="55"/>
      <c r="W236" s="55"/>
      <c r="X236" s="55"/>
      <c r="Y236" s="55"/>
      <c r="Z236" s="55"/>
      <c r="AA236" s="55"/>
      <c r="AB236" s="205"/>
      <c r="AC236" s="372" t="str">
        <f>IF($C$39&amp;$C$38&amp;$C$37="","","Threshold ratios are derived from the smallest important "&amp;IF(ISBLANK($C$39),"percent or factor","stdized")&amp;" effect.")</f>
        <v/>
      </c>
      <c r="AD236" s="373"/>
      <c r="AE236" s="373"/>
      <c r="AF236" s="373"/>
      <c r="AG236" s="373"/>
      <c r="AH236" s="18"/>
      <c r="AI236" s="18"/>
      <c r="AJ236" s="18"/>
      <c r="AK236" s="18"/>
      <c r="AL236" s="18"/>
    </row>
    <row r="237" spans="1:38" x14ac:dyDescent="0.2">
      <c r="A237" s="18"/>
      <c r="B237" s="18"/>
      <c r="C237" s="18"/>
      <c r="D237" s="18"/>
      <c r="E237" s="18"/>
      <c r="F237" s="18"/>
      <c r="G237" s="18"/>
      <c r="H237" s="18"/>
      <c r="I237" s="18"/>
      <c r="J237" s="18"/>
      <c r="K237" s="18"/>
      <c r="L237" s="372" t="str">
        <f>IF(AND($C$36&lt;&gt;0,$C$39&lt;&gt;0),"For threshold ratios derived from smallest important raw effect, clear Cell C39.","")</f>
        <v/>
      </c>
      <c r="M237" s="373"/>
      <c r="N237" s="373"/>
      <c r="O237" s="373"/>
      <c r="P237" s="373"/>
      <c r="Q237" s="18"/>
      <c r="R237" s="18"/>
      <c r="S237" s="55"/>
      <c r="T237" s="55"/>
      <c r="U237" s="55"/>
      <c r="V237" s="55"/>
      <c r="W237" s="55"/>
      <c r="X237" s="55"/>
      <c r="Y237" s="55"/>
      <c r="Z237" s="55"/>
      <c r="AA237" s="55"/>
      <c r="AB237" s="18"/>
      <c r="AC237" s="372" t="str">
        <f>IF(AND($C$39&lt;&gt;0,OR($C$38&lt;&gt;0,$C$37&lt;&gt;0)),"For threshold ratios derived from smallest important factor or percent effect, clear Cell C39.","")</f>
        <v/>
      </c>
      <c r="AD237" s="373"/>
      <c r="AE237" s="373"/>
      <c r="AF237" s="373"/>
      <c r="AG237" s="373"/>
      <c r="AH237" s="18"/>
      <c r="AI237" s="51"/>
      <c r="AJ237" s="34"/>
      <c r="AK237" s="34"/>
      <c r="AL237" s="18"/>
    </row>
    <row r="238" spans="1:38" x14ac:dyDescent="0.2">
      <c r="A238" s="18"/>
      <c r="B238" s="18"/>
      <c r="C238" s="18"/>
      <c r="D238" s="18"/>
      <c r="E238" s="18"/>
      <c r="F238" s="18"/>
      <c r="G238" s="18"/>
      <c r="H238" s="18"/>
      <c r="I238" s="18"/>
      <c r="J238" s="18"/>
      <c r="K238" s="18"/>
      <c r="L238" s="18"/>
      <c r="M238" s="374" t="str">
        <f>CONCATENATE($B$52," data only")</f>
        <v>Control data only</v>
      </c>
      <c r="N238" s="18"/>
      <c r="O238" s="18"/>
      <c r="P238" s="18"/>
      <c r="Q238" s="18"/>
      <c r="R238" s="18"/>
      <c r="S238" s="18"/>
      <c r="T238" s="18"/>
      <c r="U238" s="18"/>
      <c r="V238" s="18"/>
      <c r="W238" s="18"/>
      <c r="X238" s="18"/>
      <c r="Y238" s="18"/>
      <c r="Z238" s="18"/>
      <c r="AA238" s="18"/>
      <c r="AB238" s="18"/>
      <c r="AC238" s="18"/>
      <c r="AD238" s="374" t="str">
        <f>CONCATENATE($B$52," data only")</f>
        <v>Control data only</v>
      </c>
      <c r="AE238" s="18"/>
      <c r="AF238" s="18"/>
      <c r="AG238" s="18"/>
      <c r="AH238" s="18"/>
      <c r="AI238" s="51"/>
      <c r="AJ238" s="34"/>
      <c r="AK238" s="34"/>
      <c r="AL238" s="18"/>
    </row>
    <row r="239" spans="1:38" s="13" customFormat="1" ht="13.9" customHeight="1" x14ac:dyDescent="0.2">
      <c r="A239" s="18"/>
      <c r="B239" s="202"/>
      <c r="C239" s="198"/>
      <c r="D239" s="198"/>
      <c r="E239" s="198"/>
      <c r="F239" s="218"/>
      <c r="G239" s="218"/>
      <c r="H239" s="218"/>
      <c r="I239" s="218"/>
      <c r="J239" s="218"/>
      <c r="K239" s="158" t="s">
        <v>4</v>
      </c>
      <c r="L239" s="54"/>
      <c r="M239" s="552" t="s">
        <v>123</v>
      </c>
      <c r="N239" s="552"/>
      <c r="O239" s="552" t="s">
        <v>124</v>
      </c>
      <c r="P239" s="552"/>
      <c r="Q239" s="55"/>
      <c r="R239" s="55"/>
      <c r="S239" s="18"/>
      <c r="T239" s="18"/>
      <c r="U239" s="18"/>
      <c r="V239" s="18"/>
      <c r="W239" s="18"/>
      <c r="X239" s="18"/>
      <c r="Y239" s="18"/>
      <c r="Z239" s="18"/>
      <c r="AA239" s="18"/>
      <c r="AB239" s="158" t="s">
        <v>5</v>
      </c>
      <c r="AC239" s="54"/>
      <c r="AD239" s="552" t="s">
        <v>123</v>
      </c>
      <c r="AE239" s="552"/>
      <c r="AF239" s="552" t="s">
        <v>124</v>
      </c>
      <c r="AG239" s="552"/>
      <c r="AH239" s="55"/>
      <c r="AI239" s="55"/>
      <c r="AJ239" s="55"/>
      <c r="AK239" s="55"/>
      <c r="AL239" s="55"/>
    </row>
    <row r="240" spans="1:38" ht="37.700000000000003" customHeight="1" x14ac:dyDescent="0.2">
      <c r="A240" s="55"/>
      <c r="B240" s="38"/>
      <c r="C240" s="38"/>
      <c r="D240" s="38"/>
      <c r="E240" s="38"/>
      <c r="F240" s="38"/>
      <c r="G240" s="38"/>
      <c r="H240" s="38"/>
      <c r="I240" s="38"/>
      <c r="J240" s="38"/>
      <c r="K240" s="589" t="str">
        <f>"Error of measurement for "&amp;$B$52&amp;" group"</f>
        <v>Error of measurement for Control group</v>
      </c>
      <c r="L240" s="590"/>
      <c r="M240" s="188" t="str">
        <f>M50</f>
        <v>Custom effect, not adjusted</v>
      </c>
      <c r="N240" s="188" t="str">
        <f>N50</f>
        <v>Custom effect, not adjusted</v>
      </c>
      <c r="O240" s="188" t="str">
        <f>O50</f>
        <v>Custom effect, adjusted</v>
      </c>
      <c r="P240" s="188" t="str">
        <f>P50</f>
        <v>Custom effect, adjusted</v>
      </c>
      <c r="Q240" s="18"/>
      <c r="R240" s="18"/>
      <c r="S240" s="55"/>
      <c r="T240" s="55"/>
      <c r="U240" s="55"/>
      <c r="V240" s="55"/>
      <c r="W240" s="55"/>
      <c r="X240" s="55"/>
      <c r="Y240" s="55"/>
      <c r="Z240" s="55"/>
      <c r="AA240" s="55"/>
      <c r="AB240" s="589" t="str">
        <f>"Error of measurement for "&amp;$B$52&amp;" group"</f>
        <v>Error of measurement for Control group</v>
      </c>
      <c r="AC240" s="590"/>
      <c r="AD240" s="188" t="str">
        <f>AD50</f>
        <v>Custom effect, not adjusted</v>
      </c>
      <c r="AE240" s="188" t="str">
        <f>AE50</f>
        <v>Custom effect, not adjusted</v>
      </c>
      <c r="AF240" s="188" t="str">
        <f>AF50</f>
        <v>Custom effect, adjusted</v>
      </c>
      <c r="AG240" s="188" t="str">
        <f>AG50</f>
        <v>Custom effect, adjusted</v>
      </c>
      <c r="AH240" s="18"/>
      <c r="AI240" s="18"/>
      <c r="AJ240" s="18"/>
      <c r="AK240" s="18"/>
      <c r="AL240" s="18"/>
    </row>
    <row r="241" spans="1:38" ht="12.95" customHeight="1" x14ac:dyDescent="0.2">
      <c r="A241" s="18"/>
      <c r="B241" s="18"/>
      <c r="C241" s="18"/>
      <c r="D241" s="18"/>
      <c r="E241" s="18"/>
      <c r="F241" s="18"/>
      <c r="G241" s="18"/>
      <c r="H241" s="18"/>
      <c r="I241" s="18"/>
      <c r="J241" s="18"/>
      <c r="K241" s="154"/>
      <c r="L241" s="155" t="s">
        <v>266</v>
      </c>
      <c r="M241" s="190">
        <f>$F$42</f>
        <v>90</v>
      </c>
      <c r="N241" s="190">
        <f>$F$42</f>
        <v>90</v>
      </c>
      <c r="O241" s="190">
        <f>$F$42</f>
        <v>90</v>
      </c>
      <c r="P241" s="190">
        <f>$F$42</f>
        <v>90</v>
      </c>
      <c r="Q241" s="18"/>
      <c r="R241" s="18"/>
      <c r="S241" s="18"/>
      <c r="T241" s="18"/>
      <c r="U241" s="18"/>
      <c r="V241" s="18"/>
      <c r="W241" s="18"/>
      <c r="X241" s="18"/>
      <c r="Y241" s="18"/>
      <c r="Z241" s="18"/>
      <c r="AA241" s="18"/>
      <c r="AB241" s="156"/>
      <c r="AC241" s="155" t="s">
        <v>266</v>
      </c>
      <c r="AD241" s="190">
        <f>$F$42</f>
        <v>90</v>
      </c>
      <c r="AE241" s="190">
        <f>$F$42</f>
        <v>90</v>
      </c>
      <c r="AF241" s="190">
        <f>$F$42</f>
        <v>90</v>
      </c>
      <c r="AG241" s="190">
        <f>$F$42</f>
        <v>90</v>
      </c>
      <c r="AH241" s="18"/>
      <c r="AI241" s="18"/>
      <c r="AJ241" s="18"/>
      <c r="AK241" s="18"/>
      <c r="AL241" s="18"/>
    </row>
    <row r="242" spans="1:38" x14ac:dyDescent="0.2">
      <c r="A242" s="18"/>
      <c r="B242" s="18"/>
      <c r="C242" s="18"/>
      <c r="D242" s="18"/>
      <c r="E242" s="18"/>
      <c r="F242" s="18"/>
      <c r="G242" s="18"/>
      <c r="H242" s="18"/>
      <c r="I242" s="18"/>
      <c r="J242" s="18"/>
      <c r="K242" s="177"/>
      <c r="L242" s="178" t="s">
        <v>84</v>
      </c>
      <c r="M242" s="191">
        <f>M75</f>
        <v>19</v>
      </c>
      <c r="N242" s="191">
        <f>N75</f>
        <v>19</v>
      </c>
      <c r="O242" s="191">
        <f>O75</f>
        <v>17</v>
      </c>
      <c r="P242" s="191">
        <f>P75</f>
        <v>17</v>
      </c>
      <c r="Q242" s="18"/>
      <c r="R242" s="18"/>
      <c r="S242" s="18"/>
      <c r="T242" s="18"/>
      <c r="U242" s="18"/>
      <c r="V242" s="18"/>
      <c r="W242" s="18"/>
      <c r="X242" s="18"/>
      <c r="Y242" s="18"/>
      <c r="Z242" s="18"/>
      <c r="AA242" s="18"/>
      <c r="AB242" s="177"/>
      <c r="AC242" s="178" t="s">
        <v>84</v>
      </c>
      <c r="AD242" s="191">
        <f>AD75</f>
        <v>19</v>
      </c>
      <c r="AE242" s="191">
        <f>AE75</f>
        <v>19</v>
      </c>
      <c r="AF242" s="191">
        <f>AF75</f>
        <v>17</v>
      </c>
      <c r="AG242" s="191">
        <f>AG75</f>
        <v>17</v>
      </c>
      <c r="AH242" s="18"/>
      <c r="AI242" s="18"/>
      <c r="AJ242" s="18"/>
      <c r="AK242" s="18"/>
      <c r="AL242" s="18"/>
    </row>
    <row r="243" spans="1:38" ht="12.95" customHeight="1" x14ac:dyDescent="0.2">
      <c r="A243" s="18"/>
      <c r="B243" s="18"/>
      <c r="C243" s="18"/>
      <c r="D243" s="18"/>
      <c r="E243" s="18"/>
      <c r="F243" s="18"/>
      <c r="G243" s="18"/>
      <c r="H243" s="18"/>
      <c r="I243" s="18"/>
      <c r="J243" s="18"/>
      <c r="K243" s="209" t="s">
        <v>44</v>
      </c>
      <c r="L243" s="206"/>
      <c r="M243" s="207"/>
      <c r="N243" s="207"/>
      <c r="O243" s="207"/>
      <c r="P243" s="207"/>
      <c r="Q243" s="18"/>
      <c r="R243" s="18"/>
      <c r="S243" s="18"/>
      <c r="T243" s="18"/>
      <c r="U243" s="18"/>
      <c r="V243" s="18"/>
      <c r="W243" s="18"/>
      <c r="X243" s="18"/>
      <c r="Y243" s="18"/>
      <c r="Z243" s="18"/>
      <c r="AA243" s="18"/>
      <c r="AB243" s="209" t="s">
        <v>39</v>
      </c>
      <c r="AC243" s="206"/>
      <c r="AD243" s="206"/>
      <c r="AE243" s="206"/>
      <c r="AF243" s="206"/>
      <c r="AG243" s="214"/>
      <c r="AH243" s="18"/>
      <c r="AI243" s="18"/>
      <c r="AJ243" s="18"/>
      <c r="AK243" s="18"/>
      <c r="AL243" s="18"/>
    </row>
    <row r="244" spans="1:38" x14ac:dyDescent="0.2">
      <c r="A244" s="18"/>
      <c r="B244" s="18"/>
      <c r="C244" s="18"/>
      <c r="D244" s="18"/>
      <c r="E244" s="18"/>
      <c r="F244" s="18"/>
      <c r="G244" s="18"/>
      <c r="H244" s="18"/>
      <c r="I244" s="18"/>
      <c r="J244" s="18"/>
      <c r="K244" s="177"/>
      <c r="L244" s="189" t="s">
        <v>86</v>
      </c>
      <c r="M244" s="208">
        <f>M73/SQRT(2)</f>
        <v>5.179280584060022</v>
      </c>
      <c r="N244" s="208">
        <f>N73/SQRT(2)</f>
        <v>5.179280584060022</v>
      </c>
      <c r="O244" s="208">
        <f>O73/SQRT(2)</f>
        <v>5.3114180706815572</v>
      </c>
      <c r="P244" s="208">
        <f>P73/SQRT(2)</f>
        <v>5.3114180706815572</v>
      </c>
      <c r="Q244" s="18"/>
      <c r="R244" s="18"/>
      <c r="S244" s="18"/>
      <c r="T244" s="18"/>
      <c r="U244" s="18"/>
      <c r="V244" s="18"/>
      <c r="W244" s="18"/>
      <c r="X244" s="18"/>
      <c r="Y244" s="18"/>
      <c r="Z244" s="18"/>
      <c r="AA244" s="18"/>
      <c r="AB244" s="177"/>
      <c r="AC244" s="189" t="s">
        <v>40</v>
      </c>
      <c r="AD244" s="216">
        <f t="shared" ref="AD244:AG246" si="189">100*EXP(AD259/100)-100</f>
        <v>1.3005749003802975</v>
      </c>
      <c r="AE244" s="216">
        <f t="shared" si="189"/>
        <v>1.3005749003802975</v>
      </c>
      <c r="AF244" s="216">
        <f t="shared" si="189"/>
        <v>1.3367705461424748</v>
      </c>
      <c r="AG244" s="216">
        <f t="shared" si="189"/>
        <v>1.3367705461424748</v>
      </c>
      <c r="AH244" s="18"/>
      <c r="AI244" s="18"/>
      <c r="AJ244" s="18"/>
      <c r="AK244" s="18"/>
      <c r="AL244" s="18"/>
    </row>
    <row r="245" spans="1:38" ht="12.6" customHeight="1" x14ac:dyDescent="0.2">
      <c r="A245" s="18"/>
      <c r="B245" s="18"/>
      <c r="C245" s="18"/>
      <c r="D245" s="18"/>
      <c r="E245" s="18"/>
      <c r="F245" s="18"/>
      <c r="G245" s="18"/>
      <c r="H245" s="18"/>
      <c r="I245" s="18"/>
      <c r="J245" s="18"/>
      <c r="K245" s="553" t="s">
        <v>269</v>
      </c>
      <c r="L245" s="182" t="s">
        <v>9</v>
      </c>
      <c r="M245" s="194">
        <f>SQRT(M242*M244^2/CHIINV((100-M241)/100/2,M242))</f>
        <v>4.1119630653513424</v>
      </c>
      <c r="N245" s="194">
        <f>SQRT(N242*N244^2/CHIINV((100-N241)/100/2,N242))</f>
        <v>4.1119630653513424</v>
      </c>
      <c r="O245" s="194">
        <f>SQRT(O242*O244^2/CHIINV((100-O241)/100/2,O242))</f>
        <v>4.1694793889355104</v>
      </c>
      <c r="P245" s="194">
        <f>SQRT(P242*P244^2/CHIINV((100-P241)/100/2,P242))</f>
        <v>4.1694793889355104</v>
      </c>
      <c r="Q245" s="18"/>
      <c r="R245" s="18"/>
      <c r="S245" s="18"/>
      <c r="T245" s="18"/>
      <c r="U245" s="18"/>
      <c r="V245" s="18"/>
      <c r="W245" s="18"/>
      <c r="X245" s="18"/>
      <c r="Y245" s="18"/>
      <c r="Z245" s="18"/>
      <c r="AA245" s="18"/>
      <c r="AB245" s="643" t="s">
        <v>269</v>
      </c>
      <c r="AC245" s="210" t="s">
        <v>9</v>
      </c>
      <c r="AD245" s="183">
        <f t="shared" si="189"/>
        <v>1.0311830873603043</v>
      </c>
      <c r="AE245" s="183">
        <f t="shared" si="189"/>
        <v>1.0311830873603043</v>
      </c>
      <c r="AF245" s="183">
        <f t="shared" si="189"/>
        <v>1.0478691092463919</v>
      </c>
      <c r="AG245" s="183">
        <f t="shared" si="189"/>
        <v>1.0478691092463919</v>
      </c>
      <c r="AH245" s="18"/>
      <c r="AI245" s="18"/>
      <c r="AJ245" s="18"/>
      <c r="AK245" s="18"/>
      <c r="AL245" s="18"/>
    </row>
    <row r="246" spans="1:38" ht="12.95" customHeight="1" x14ac:dyDescent="0.2">
      <c r="A246" s="18"/>
      <c r="B246" s="18"/>
      <c r="C246" s="18"/>
      <c r="D246" s="18"/>
      <c r="E246" s="18"/>
      <c r="F246" s="18"/>
      <c r="G246" s="18"/>
      <c r="H246" s="18"/>
      <c r="I246" s="18"/>
      <c r="J246" s="18"/>
      <c r="K246" s="554"/>
      <c r="L246" s="184" t="s">
        <v>10</v>
      </c>
      <c r="M246" s="195">
        <f>SQRT(M242*M244^2/CHIINV(1-(100-M241)/100/2,M242))</f>
        <v>7.0977399649095592</v>
      </c>
      <c r="N246" s="195">
        <f>SQRT(N242*N244^2/CHIINV(1-(100-N241)/100/2,N242))</f>
        <v>7.0977399649095592</v>
      </c>
      <c r="O246" s="195">
        <f>SQRT(O242*O244^2/CHIINV(1-(100-O241)/100/2,O242))</f>
        <v>7.4367180702603619</v>
      </c>
      <c r="P246" s="195">
        <f>SQRT(P242*P244^2/CHIINV(1-(100-P241)/100/2,P242))</f>
        <v>7.4367180702603619</v>
      </c>
      <c r="Q246" s="18"/>
      <c r="R246" s="18"/>
      <c r="S246" s="18"/>
      <c r="T246" s="18"/>
      <c r="U246" s="18"/>
      <c r="V246" s="18"/>
      <c r="W246" s="18"/>
      <c r="X246" s="18"/>
      <c r="Y246" s="18"/>
      <c r="Z246" s="18"/>
      <c r="AA246" s="18"/>
      <c r="AB246" s="644"/>
      <c r="AC246" s="210" t="s">
        <v>10</v>
      </c>
      <c r="AD246" s="185">
        <f t="shared" si="189"/>
        <v>1.7866028454059659</v>
      </c>
      <c r="AE246" s="185">
        <f t="shared" si="189"/>
        <v>1.7866028454059659</v>
      </c>
      <c r="AF246" s="185">
        <f t="shared" si="189"/>
        <v>1.8766555730166772</v>
      </c>
      <c r="AG246" s="185">
        <f t="shared" si="189"/>
        <v>1.8766555730166772</v>
      </c>
      <c r="AH246" s="18"/>
      <c r="AI246" s="18"/>
      <c r="AJ246" s="18"/>
      <c r="AK246" s="18"/>
      <c r="AL246" s="18"/>
    </row>
    <row r="247" spans="1:38" ht="12.95" customHeight="1" x14ac:dyDescent="0.25">
      <c r="A247" s="18"/>
      <c r="B247" s="18"/>
      <c r="C247" s="18"/>
      <c r="D247" s="18"/>
      <c r="E247" s="18"/>
      <c r="F247" s="18"/>
      <c r="G247" s="18"/>
      <c r="H247" s="18"/>
      <c r="I247" s="18"/>
      <c r="J247" s="18"/>
      <c r="K247" s="555"/>
      <c r="L247" s="152" t="s">
        <v>19</v>
      </c>
      <c r="M247" s="196">
        <f>SQRT(M246/M245)</f>
        <v>1.3138187018590246</v>
      </c>
      <c r="N247" s="196">
        <f>SQRT(N246/N245)</f>
        <v>1.3138187018590246</v>
      </c>
      <c r="O247" s="196">
        <f>SQRT(O246/O245)</f>
        <v>1.335517991683425</v>
      </c>
      <c r="P247" s="196">
        <f>SQRT(P246/P245)</f>
        <v>1.335517991683425</v>
      </c>
      <c r="Q247" s="18"/>
      <c r="R247" s="18"/>
      <c r="S247" s="18"/>
      <c r="T247" s="18"/>
      <c r="U247" s="18"/>
      <c r="V247" s="18"/>
      <c r="W247" s="18"/>
      <c r="X247" s="18"/>
      <c r="Y247" s="18"/>
      <c r="Z247" s="18"/>
      <c r="AA247" s="18"/>
      <c r="AB247" s="645"/>
      <c r="AC247" s="152" t="s">
        <v>41</v>
      </c>
      <c r="AD247" s="196">
        <f>SQRT(AD246/AD245)</f>
        <v>1.316273445524919</v>
      </c>
      <c r="AE247" s="196">
        <f>SQRT(AE246/AE245)</f>
        <v>1.316273445524919</v>
      </c>
      <c r="AF247" s="196">
        <f>SQRT(AF246/AF245)</f>
        <v>1.3382546699540112</v>
      </c>
      <c r="AG247" s="196">
        <f>SQRT(AG246/AG245)</f>
        <v>1.3382546699540112</v>
      </c>
      <c r="AH247" s="18"/>
      <c r="AI247" s="18"/>
      <c r="AJ247" s="18"/>
      <c r="AK247" s="18"/>
      <c r="AL247" s="18"/>
    </row>
    <row r="248" spans="1:38" ht="12.95" customHeight="1" x14ac:dyDescent="0.2">
      <c r="A248" s="18"/>
      <c r="B248" s="18"/>
      <c r="C248" s="18"/>
      <c r="D248" s="18"/>
      <c r="E248" s="18"/>
      <c r="F248" s="18"/>
      <c r="G248" s="18"/>
      <c r="H248" s="18"/>
      <c r="I248" s="18"/>
      <c r="J248" s="18"/>
      <c r="K248" s="209" t="s">
        <v>174</v>
      </c>
      <c r="L248" s="206"/>
      <c r="M248" s="207"/>
      <c r="N248" s="207"/>
      <c r="O248" s="207"/>
      <c r="P248" s="207"/>
      <c r="Q248" s="18"/>
      <c r="R248" s="18"/>
      <c r="S248" s="18"/>
      <c r="T248" s="18"/>
      <c r="U248" s="18"/>
      <c r="V248" s="18"/>
      <c r="W248" s="18"/>
      <c r="X248" s="18"/>
      <c r="Y248" s="18"/>
      <c r="Z248" s="18"/>
      <c r="AA248" s="18"/>
      <c r="AB248" s="209" t="s">
        <v>42</v>
      </c>
      <c r="AC248" s="206"/>
      <c r="AD248" s="206"/>
      <c r="AE248" s="206"/>
      <c r="AF248" s="206"/>
      <c r="AG248" s="214"/>
      <c r="AH248" s="18"/>
      <c r="AI248" s="18"/>
      <c r="AJ248" s="18"/>
      <c r="AK248" s="18"/>
      <c r="AL248" s="18"/>
    </row>
    <row r="249" spans="1:38" ht="12.95" customHeight="1" x14ac:dyDescent="0.2">
      <c r="A249" s="18"/>
      <c r="B249" s="18"/>
      <c r="C249" s="18"/>
      <c r="D249" s="18"/>
      <c r="E249" s="18"/>
      <c r="F249" s="18"/>
      <c r="G249" s="18"/>
      <c r="H249" s="18"/>
      <c r="I249" s="18"/>
      <c r="J249" s="18"/>
      <c r="K249" s="177"/>
      <c r="L249" s="180" t="s">
        <v>175</v>
      </c>
      <c r="M249" s="208">
        <f>M244/M215</f>
        <v>0.4941539497817985</v>
      </c>
      <c r="N249" s="208">
        <f>N244/N215</f>
        <v>0.4941539497817985</v>
      </c>
      <c r="O249" s="208">
        <f>O244/O215</f>
        <v>0.50676115649101405</v>
      </c>
      <c r="P249" s="208">
        <f>P244/P215</f>
        <v>0.50676115649101405</v>
      </c>
      <c r="Q249" s="18"/>
      <c r="R249" s="18"/>
      <c r="S249" s="18"/>
      <c r="T249" s="18"/>
      <c r="U249" s="18"/>
      <c r="V249" s="18"/>
      <c r="W249" s="18"/>
      <c r="X249" s="18"/>
      <c r="Y249" s="18"/>
      <c r="Z249" s="18"/>
      <c r="AA249" s="18"/>
      <c r="AB249" s="177"/>
      <c r="AC249" s="189" t="s">
        <v>43</v>
      </c>
      <c r="AD249" s="196">
        <f t="shared" ref="AD249:AG251" si="190">EXP(AD259/100)</f>
        <v>1.0130057490038029</v>
      </c>
      <c r="AE249" s="196">
        <f t="shared" si="190"/>
        <v>1.0130057490038029</v>
      </c>
      <c r="AF249" s="196">
        <f t="shared" si="190"/>
        <v>1.0133677054614247</v>
      </c>
      <c r="AG249" s="196">
        <f t="shared" si="190"/>
        <v>1.0133677054614247</v>
      </c>
      <c r="AH249" s="18"/>
      <c r="AI249" s="18"/>
      <c r="AJ249" s="18"/>
      <c r="AK249" s="18"/>
      <c r="AL249" s="18"/>
    </row>
    <row r="250" spans="1:38" ht="12.95" customHeight="1" x14ac:dyDescent="0.2">
      <c r="A250" s="18"/>
      <c r="B250" s="18"/>
      <c r="C250" s="18"/>
      <c r="D250" s="18"/>
      <c r="E250" s="18"/>
      <c r="F250" s="18"/>
      <c r="G250" s="18"/>
      <c r="H250" s="18"/>
      <c r="I250" s="18"/>
      <c r="J250" s="18"/>
      <c r="K250" s="553" t="s">
        <v>269</v>
      </c>
      <c r="L250" s="182" t="s">
        <v>9</v>
      </c>
      <c r="M250" s="194">
        <f>SQRT(M242*M249^2/CHIINV((100-M241)/100/2,M242))</f>
        <v>0.39232143482510534</v>
      </c>
      <c r="N250" s="194">
        <f>SQRT(N242*N249^2/CHIINV((100-N241)/100/2,N242))</f>
        <v>0.39232143482510534</v>
      </c>
      <c r="O250" s="194">
        <f>SQRT(O242*O249^2/CHIINV((100-O241)/100/2,O242))</f>
        <v>0.39780905381286924</v>
      </c>
      <c r="P250" s="194">
        <f>SQRT(P242*P249^2/CHIINV((100-P241)/100/2,P242))</f>
        <v>0.39780905381286924</v>
      </c>
      <c r="Q250" s="18"/>
      <c r="R250" s="18"/>
      <c r="S250" s="18"/>
      <c r="T250" s="18"/>
      <c r="U250" s="18"/>
      <c r="V250" s="18"/>
      <c r="W250" s="18"/>
      <c r="X250" s="18"/>
      <c r="Y250" s="18"/>
      <c r="Z250" s="18"/>
      <c r="AA250" s="18"/>
      <c r="AB250" s="553" t="s">
        <v>269</v>
      </c>
      <c r="AC250" s="210" t="s">
        <v>9</v>
      </c>
      <c r="AD250" s="194">
        <f t="shared" si="190"/>
        <v>1.010311830873603</v>
      </c>
      <c r="AE250" s="194">
        <f t="shared" si="190"/>
        <v>1.010311830873603</v>
      </c>
      <c r="AF250" s="194">
        <f t="shared" si="190"/>
        <v>1.0104786910924639</v>
      </c>
      <c r="AG250" s="194">
        <f t="shared" si="190"/>
        <v>1.0104786910924639</v>
      </c>
      <c r="AH250" s="18"/>
      <c r="AI250" s="18"/>
      <c r="AJ250" s="18"/>
      <c r="AK250" s="18"/>
      <c r="AL250" s="18"/>
    </row>
    <row r="251" spans="1:38" ht="12.95" customHeight="1" x14ac:dyDescent="0.2">
      <c r="A251" s="18"/>
      <c r="B251" s="18"/>
      <c r="C251" s="18"/>
      <c r="D251" s="18"/>
      <c r="E251" s="18"/>
      <c r="F251" s="18"/>
      <c r="G251" s="18"/>
      <c r="H251" s="18"/>
      <c r="I251" s="18"/>
      <c r="J251" s="18"/>
      <c r="K251" s="554"/>
      <c r="L251" s="184" t="s">
        <v>10</v>
      </c>
      <c r="M251" s="195">
        <f>SQRT(M242*M249^2/CHIINV(1-(100-M241)/100/2,M242))</f>
        <v>0.67719371083672031</v>
      </c>
      <c r="N251" s="195">
        <f>SQRT(N242*N249^2/CHIINV(1-(100-N241)/100/2,N242))</f>
        <v>0.67719371083672031</v>
      </c>
      <c r="O251" s="195">
        <f>SQRT(O242*O249^2/CHIINV(1-(100-O241)/100/2,O242))</f>
        <v>0.70953553262644498</v>
      </c>
      <c r="P251" s="195">
        <f>SQRT(P242*P249^2/CHIINV(1-(100-P241)/100/2,P242))</f>
        <v>0.70953553262644498</v>
      </c>
      <c r="Q251" s="18"/>
      <c r="R251" s="18"/>
      <c r="S251" s="18"/>
      <c r="T251" s="18"/>
      <c r="U251" s="18"/>
      <c r="V251" s="18"/>
      <c r="W251" s="18"/>
      <c r="X251" s="18"/>
      <c r="Y251" s="18"/>
      <c r="Z251" s="18"/>
      <c r="AA251" s="18"/>
      <c r="AB251" s="554"/>
      <c r="AC251" s="210" t="s">
        <v>10</v>
      </c>
      <c r="AD251" s="195">
        <f t="shared" si="190"/>
        <v>1.0178660284540597</v>
      </c>
      <c r="AE251" s="195">
        <f t="shared" si="190"/>
        <v>1.0178660284540597</v>
      </c>
      <c r="AF251" s="195">
        <f t="shared" si="190"/>
        <v>1.0187665557301668</v>
      </c>
      <c r="AG251" s="195">
        <f t="shared" si="190"/>
        <v>1.0187665557301668</v>
      </c>
      <c r="AH251" s="18"/>
      <c r="AI251" s="18"/>
      <c r="AJ251" s="18"/>
      <c r="AK251" s="18"/>
      <c r="AL251" s="18"/>
    </row>
    <row r="252" spans="1:38" ht="12.95" customHeight="1" x14ac:dyDescent="0.25">
      <c r="A252" s="18"/>
      <c r="B252" s="18"/>
      <c r="C252" s="18"/>
      <c r="D252" s="18"/>
      <c r="E252" s="18"/>
      <c r="F252" s="18"/>
      <c r="G252" s="18"/>
      <c r="H252" s="18"/>
      <c r="I252" s="18"/>
      <c r="J252" s="18"/>
      <c r="K252" s="555"/>
      <c r="L252" s="152" t="s">
        <v>19</v>
      </c>
      <c r="M252" s="196">
        <f>SQRT(M251/M250)</f>
        <v>1.3138187018590246</v>
      </c>
      <c r="N252" s="196">
        <f>SQRT(N251/N250)</f>
        <v>1.3138187018590246</v>
      </c>
      <c r="O252" s="196">
        <f>SQRT(O251/O250)</f>
        <v>1.3355179916834252</v>
      </c>
      <c r="P252" s="196">
        <f>SQRT(P251/P250)</f>
        <v>1.3355179916834252</v>
      </c>
      <c r="Q252" s="18"/>
      <c r="R252" s="18"/>
      <c r="S252" s="18"/>
      <c r="T252" s="18"/>
      <c r="U252" s="18"/>
      <c r="V252" s="18"/>
      <c r="W252" s="18"/>
      <c r="X252" s="18"/>
      <c r="Y252" s="18"/>
      <c r="Z252" s="18"/>
      <c r="AA252" s="18"/>
      <c r="AB252" s="555"/>
      <c r="AC252" s="152" t="s">
        <v>19</v>
      </c>
      <c r="AD252" s="196">
        <f>SQRT(AD251/AD250)</f>
        <v>1.0037315851565938</v>
      </c>
      <c r="AE252" s="196">
        <f>SQRT(AE251/AE250)</f>
        <v>1.0037315851565938</v>
      </c>
      <c r="AF252" s="196">
        <f>SQRT(AF251/AF250)</f>
        <v>1.0040925850037028</v>
      </c>
      <c r="AG252" s="196">
        <f>SQRT(AG251/AG250)</f>
        <v>1.0040925850037028</v>
      </c>
      <c r="AH252" s="18"/>
      <c r="AI252" s="18"/>
      <c r="AJ252" s="18"/>
      <c r="AK252" s="18"/>
      <c r="AL252" s="18"/>
    </row>
    <row r="253" spans="1:38" ht="12.9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209" t="s">
        <v>174</v>
      </c>
      <c r="AC253" s="206"/>
      <c r="AD253" s="206"/>
      <c r="AE253" s="206"/>
      <c r="AF253" s="206"/>
      <c r="AG253" s="214"/>
      <c r="AH253" s="18"/>
      <c r="AI253" s="18"/>
      <c r="AJ253" s="18"/>
      <c r="AK253" s="18"/>
      <c r="AL253" s="18"/>
    </row>
    <row r="254" spans="1:38" ht="12.9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77"/>
      <c r="AC254" s="180" t="s">
        <v>175</v>
      </c>
      <c r="AD254" s="196">
        <f>AD259/AD215</f>
        <v>0.49812605607983351</v>
      </c>
      <c r="AE254" s="197">
        <f>AE259/AE215</f>
        <v>0.49812605607983351</v>
      </c>
      <c r="AF254" s="197">
        <f>AF259/AF215</f>
        <v>0.5118975073477775</v>
      </c>
      <c r="AG254" s="197">
        <f>AG259/AG215</f>
        <v>0.5118975073477775</v>
      </c>
      <c r="AH254" s="18"/>
      <c r="AI254" s="18"/>
      <c r="AJ254" s="18"/>
      <c r="AK254" s="18"/>
      <c r="AL254" s="18"/>
    </row>
    <row r="255" spans="1:38" ht="12.9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553" t="s">
        <v>269</v>
      </c>
      <c r="AC255" s="182" t="s">
        <v>9</v>
      </c>
      <c r="AD255" s="194">
        <f>SQRT(AD242*AD254^2/CHIINV((100-AD241)/100/2,AD242))</f>
        <v>0.3954749914096698</v>
      </c>
      <c r="AE255" s="194">
        <f t="shared" ref="AE255:AG255" si="191">SQRT(AE242*AE254^2/CHIINV((100-AE241)/100/2,AE242))</f>
        <v>0.3954749914096698</v>
      </c>
      <c r="AF255" s="194">
        <f t="shared" si="191"/>
        <v>0.40184110490480451</v>
      </c>
      <c r="AG255" s="194">
        <f t="shared" si="191"/>
        <v>0.40184110490480451</v>
      </c>
      <c r="AH255" s="18"/>
      <c r="AI255" s="18"/>
      <c r="AJ255" s="18"/>
      <c r="AK255" s="18"/>
      <c r="AL255" s="18"/>
    </row>
    <row r="256" spans="1:38" ht="12.9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554"/>
      <c r="AC256" s="370" t="s">
        <v>10</v>
      </c>
      <c r="AD256" s="195">
        <f>SQRT(AD242*AD254^2/CHIINV(1-(100-AD241)/100/2,AD242))</f>
        <v>0.6826371266082466</v>
      </c>
      <c r="AE256" s="195">
        <f t="shared" ref="AE256:AG256" si="192">SQRT(AE242*AE254^2/CHIINV(1-(100-AE241)/100/2,AE242))</f>
        <v>0.6826371266082466</v>
      </c>
      <c r="AF256" s="195">
        <f t="shared" si="192"/>
        <v>0.71672713244468111</v>
      </c>
      <c r="AG256" s="195">
        <f t="shared" si="192"/>
        <v>0.71672713244468111</v>
      </c>
      <c r="AH256" s="18"/>
      <c r="AI256" s="18"/>
      <c r="AJ256" s="18"/>
      <c r="AK256" s="18"/>
      <c r="AL256" s="18"/>
    </row>
    <row r="257" spans="1:38" ht="12.9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555"/>
      <c r="AC257" s="152" t="s">
        <v>19</v>
      </c>
      <c r="AD257" s="196">
        <f>SQRT(AD256/AD255)</f>
        <v>1.3138187018590246</v>
      </c>
      <c r="AE257" s="196">
        <f t="shared" ref="AE257:AG257" si="193">SQRT(AE256/AE255)</f>
        <v>1.3138187018590246</v>
      </c>
      <c r="AF257" s="196">
        <f t="shared" si="193"/>
        <v>1.335517991683425</v>
      </c>
      <c r="AG257" s="196">
        <f t="shared" si="193"/>
        <v>1.335517991683425</v>
      </c>
      <c r="AH257" s="18"/>
      <c r="AI257" s="18"/>
      <c r="AJ257" s="18"/>
      <c r="AK257" s="18"/>
      <c r="AL257" s="18"/>
    </row>
    <row r="258" spans="1:38" ht="12.9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211" t="s">
        <v>38</v>
      </c>
      <c r="AC258" s="212"/>
      <c r="AD258" s="212"/>
      <c r="AE258" s="212"/>
      <c r="AF258" s="212"/>
      <c r="AG258" s="215"/>
      <c r="AH258" s="18"/>
      <c r="AI258" s="18"/>
      <c r="AJ258" s="18"/>
      <c r="AK258" s="18"/>
      <c r="AL258" s="18"/>
    </row>
    <row r="259" spans="1:38" ht="12.9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213"/>
      <c r="AC259" s="157" t="s">
        <v>20</v>
      </c>
      <c r="AD259" s="217">
        <f>AD73/SQRT(2)</f>
        <v>1.2921900476309012</v>
      </c>
      <c r="AE259" s="217">
        <f>AE73/SQRT(2)</f>
        <v>1.2921900476309012</v>
      </c>
      <c r="AF259" s="217">
        <f>AF73/SQRT(2)</f>
        <v>1.3279146038003122</v>
      </c>
      <c r="AG259" s="217">
        <f>AG73/SQRT(2)</f>
        <v>1.3279146038003122</v>
      </c>
      <c r="AH259" s="18"/>
      <c r="AI259" s="18"/>
      <c r="AJ259" s="18"/>
      <c r="AK259" s="18"/>
      <c r="AL259" s="18"/>
    </row>
    <row r="260" spans="1:38" ht="12"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639" t="s">
        <v>269</v>
      </c>
      <c r="AC260" s="159" t="s">
        <v>9</v>
      </c>
      <c r="AD260" s="160">
        <f>SQRT(AD242*AD259^2/CHIINV((100-AD241)/100/2,AD242))</f>
        <v>1.0259026640931026</v>
      </c>
      <c r="AE260" s="160">
        <f>SQRT(AE242*AE259^2/CHIINV((100-AE241)/100/2,AE242))</f>
        <v>1.0259026640931026</v>
      </c>
      <c r="AF260" s="160">
        <f>SQRT(AF242*AF259^2/CHIINV((100-AF241)/100/2,AF242))</f>
        <v>1.0424170150291707</v>
      </c>
      <c r="AG260" s="160">
        <f>SQRT(AG242*AG259^2/CHIINV((100-AG241)/100/2,AG242))</f>
        <v>1.0424170150291707</v>
      </c>
      <c r="AH260" s="18"/>
      <c r="AI260" s="18"/>
      <c r="AJ260" s="18"/>
      <c r="AK260" s="18"/>
      <c r="AL260" s="18"/>
    </row>
    <row r="261" spans="1:38" ht="12.9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640"/>
      <c r="AC261" s="161" t="s">
        <v>10</v>
      </c>
      <c r="AD261" s="162">
        <f>SQRT(AD242*AD259^2/CHIINV(1-(100-AD241)/100/2,AD242))</f>
        <v>1.7708306770548861</v>
      </c>
      <c r="AE261" s="162">
        <f>SQRT(AE242*AE259^2/CHIINV(1-(100-AE241)/100/2,AE242))</f>
        <v>1.7708306770548861</v>
      </c>
      <c r="AF261" s="162">
        <f>SQRT(AF242*AF259^2/CHIINV(1-(100-AF241)/100/2,AF242))</f>
        <v>1.8592636464365564</v>
      </c>
      <c r="AG261" s="162">
        <f>SQRT(AG242*AG259^2/CHIINV(1-(100-AG241)/100/2,AG242))</f>
        <v>1.8592636464365564</v>
      </c>
      <c r="AH261" s="18"/>
      <c r="AI261" s="18"/>
      <c r="AJ261" s="18"/>
      <c r="AK261" s="18"/>
      <c r="AL261" s="18"/>
    </row>
    <row r="262" spans="1:38" ht="15"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641"/>
      <c r="AC262" s="163" t="s">
        <v>73</v>
      </c>
      <c r="AD262" s="164">
        <f>SQRT(AD261/AD260)</f>
        <v>1.3138187018590246</v>
      </c>
      <c r="AE262" s="164">
        <f>SQRT(AE261/AE260)</f>
        <v>1.3138187018590246</v>
      </c>
      <c r="AF262" s="164">
        <f>SQRT(AF261/AF260)</f>
        <v>1.3355179916834252</v>
      </c>
      <c r="AG262" s="164">
        <f>SQRT(AG261/AG260)</f>
        <v>1.3355179916834252</v>
      </c>
      <c r="AH262" s="18"/>
      <c r="AI262" s="18"/>
      <c r="AJ262" s="18"/>
      <c r="AK262" s="18"/>
      <c r="AL262" s="18"/>
    </row>
    <row r="263" spans="1:38" ht="25.5" customHeight="1" x14ac:dyDescent="0.2">
      <c r="A263" s="18"/>
      <c r="B263" s="18"/>
      <c r="C263" s="18"/>
      <c r="D263" s="18"/>
      <c r="E263" s="18"/>
      <c r="F263" s="18"/>
      <c r="G263" s="18"/>
      <c r="H263" s="18"/>
      <c r="I263" s="18"/>
      <c r="J263" s="18"/>
      <c r="K263" s="18"/>
      <c r="L263" s="18"/>
      <c r="M263" s="18"/>
      <c r="N263" s="18"/>
      <c r="O263" s="18"/>
      <c r="P263" s="18"/>
      <c r="Q263" s="18"/>
      <c r="R263" s="18"/>
      <c r="S263" s="165"/>
      <c r="T263" s="165"/>
      <c r="U263" s="165"/>
      <c r="V263" s="165"/>
      <c r="W263" s="165"/>
      <c r="X263" s="165"/>
      <c r="Y263" s="165"/>
      <c r="Z263" s="165"/>
      <c r="AA263" s="165"/>
      <c r="AB263" s="165"/>
      <c r="AC263" s="165"/>
      <c r="AD263" s="165" t="str">
        <f>CONCATENATE($B$85,"-",$B$52," difference")</f>
        <v>Exptal-Control difference</v>
      </c>
      <c r="AE263" s="165"/>
      <c r="AF263" s="165"/>
      <c r="AG263" s="165"/>
      <c r="AH263" s="18"/>
      <c r="AI263" s="18"/>
      <c r="AJ263" s="18"/>
      <c r="AK263" s="18"/>
      <c r="AL263" s="18"/>
    </row>
    <row r="264" spans="1:38" ht="16.5" x14ac:dyDescent="0.2">
      <c r="A264" s="18"/>
      <c r="B264" s="18"/>
      <c r="C264" s="18"/>
      <c r="D264" s="132"/>
      <c r="E264" s="18"/>
      <c r="F264" s="18"/>
      <c r="G264" s="18"/>
      <c r="H264" s="18"/>
      <c r="I264" s="18"/>
      <c r="J264" s="18"/>
      <c r="K264" s="18"/>
      <c r="L264" s="18"/>
      <c r="M264" s="18"/>
      <c r="N264" s="18"/>
      <c r="O264" s="18"/>
      <c r="P264" s="18"/>
      <c r="Q264" s="18"/>
      <c r="R264" s="18"/>
      <c r="S264" s="165"/>
      <c r="T264" s="165"/>
      <c r="U264" s="165"/>
      <c r="V264" s="165"/>
      <c r="W264" s="165"/>
      <c r="X264" s="165"/>
      <c r="Y264" s="165"/>
      <c r="Z264" s="165"/>
      <c r="AA264" s="165"/>
      <c r="AB264" s="165" t="s">
        <v>5</v>
      </c>
      <c r="AC264" s="165"/>
      <c r="AD264" s="660" t="s">
        <v>123</v>
      </c>
      <c r="AE264" s="660"/>
      <c r="AF264" s="660" t="s">
        <v>124</v>
      </c>
      <c r="AG264" s="660"/>
      <c r="AH264" s="18"/>
      <c r="AI264" s="51"/>
      <c r="AJ264" s="34"/>
      <c r="AK264" s="34"/>
      <c r="AL264" s="18"/>
    </row>
    <row r="265" spans="1:38" s="13" customFormat="1" ht="42" customHeight="1" x14ac:dyDescent="0.25">
      <c r="A265" s="18"/>
      <c r="B265" s="18"/>
      <c r="C265" s="18"/>
      <c r="D265" s="18"/>
      <c r="E265" s="18"/>
      <c r="F265" s="18"/>
      <c r="G265" s="18"/>
      <c r="H265" s="18"/>
      <c r="I265" s="18"/>
      <c r="J265" s="18"/>
      <c r="K265" s="54"/>
      <c r="L265" s="54"/>
      <c r="M265" s="54"/>
      <c r="N265" s="54"/>
      <c r="O265" s="54"/>
      <c r="P265" s="54"/>
      <c r="Q265" s="55"/>
      <c r="R265" s="55"/>
      <c r="S265" s="55"/>
      <c r="T265" s="55"/>
      <c r="U265" s="55"/>
      <c r="V265" s="55"/>
      <c r="W265" s="55"/>
      <c r="X265" s="55"/>
      <c r="Y265" s="55"/>
      <c r="Z265" s="55"/>
      <c r="AA265" s="55"/>
      <c r="AB265" s="583" t="s">
        <v>173</v>
      </c>
      <c r="AC265" s="584"/>
      <c r="AD265" s="219" t="str">
        <f>AD50</f>
        <v>Custom effect, not adjusted</v>
      </c>
      <c r="AE265" s="219" t="str">
        <f>AE50</f>
        <v>Custom effect, not adjusted</v>
      </c>
      <c r="AF265" s="219" t="str">
        <f>AF50</f>
        <v>Custom effect, adjusted</v>
      </c>
      <c r="AG265" s="219" t="str">
        <f>AG50</f>
        <v>Custom effect, adjusted</v>
      </c>
      <c r="AH265" s="55"/>
      <c r="AI265" s="55"/>
      <c r="AJ265" s="55"/>
      <c r="AK265" s="55"/>
      <c r="AL265" s="55"/>
    </row>
    <row r="266" spans="1:38" x14ac:dyDescent="0.2">
      <c r="A266" s="55"/>
      <c r="B266" s="55"/>
      <c r="C266" s="55"/>
      <c r="D266" s="55"/>
      <c r="E266" s="55"/>
      <c r="F266" s="55"/>
      <c r="G266" s="55"/>
      <c r="H266" s="55"/>
      <c r="I266" s="55"/>
      <c r="J266" s="55"/>
      <c r="K266" s="18"/>
      <c r="L266" s="18"/>
      <c r="M266" s="18"/>
      <c r="N266" s="18"/>
      <c r="O266" s="18"/>
      <c r="P266" s="18"/>
      <c r="Q266" s="18"/>
      <c r="R266" s="18"/>
      <c r="S266" s="55"/>
      <c r="T266" s="55"/>
      <c r="U266" s="55"/>
      <c r="V266" s="55"/>
      <c r="W266" s="55"/>
      <c r="X266" s="55"/>
      <c r="Y266" s="55"/>
      <c r="Z266" s="55"/>
      <c r="AA266" s="55"/>
      <c r="AB266" s="220"/>
      <c r="AC266" s="221" t="s">
        <v>266</v>
      </c>
      <c r="AD266" s="222">
        <f>$F$42</f>
        <v>90</v>
      </c>
      <c r="AE266" s="222">
        <f>$F$42</f>
        <v>90</v>
      </c>
      <c r="AF266" s="222">
        <f>$F$42</f>
        <v>90</v>
      </c>
      <c r="AG266" s="222">
        <f>$F$42</f>
        <v>90</v>
      </c>
      <c r="AH266" s="18"/>
      <c r="AI266" s="18"/>
      <c r="AJ266" s="18"/>
      <c r="AK266" s="18"/>
      <c r="AL266" s="18"/>
    </row>
    <row r="267" spans="1:38" x14ac:dyDescent="0.2">
      <c r="A267" s="18"/>
      <c r="B267" s="18"/>
      <c r="C267" s="18"/>
      <c r="D267" s="18"/>
      <c r="E267" s="18"/>
      <c r="F267" s="18"/>
      <c r="G267" s="18"/>
      <c r="H267" s="18"/>
      <c r="I267" s="18"/>
      <c r="J267" s="18"/>
      <c r="K267" s="55"/>
      <c r="L267" s="55"/>
      <c r="M267" s="55"/>
      <c r="N267" s="55"/>
      <c r="O267" s="55"/>
      <c r="P267" s="55"/>
      <c r="Q267" s="18"/>
      <c r="R267" s="18"/>
      <c r="S267" s="55"/>
      <c r="T267" s="55"/>
      <c r="U267" s="55"/>
      <c r="V267" s="55"/>
      <c r="W267" s="55"/>
      <c r="X267" s="55"/>
      <c r="Y267" s="55"/>
      <c r="Z267" s="55"/>
      <c r="AA267" s="55"/>
      <c r="AB267" s="220"/>
      <c r="AC267" s="223" t="s">
        <v>84</v>
      </c>
      <c r="AD267" s="225">
        <f>AD138</f>
        <v>31.410324329808272</v>
      </c>
      <c r="AE267" s="224">
        <f>AE138</f>
        <v>31.410324329808272</v>
      </c>
      <c r="AF267" s="224">
        <f>AF138</f>
        <v>33.793367428190287</v>
      </c>
      <c r="AG267" s="224">
        <f>AG138</f>
        <v>33.793367428190287</v>
      </c>
      <c r="AH267" s="18"/>
      <c r="AI267" s="18"/>
      <c r="AJ267" s="18"/>
      <c r="AK267" s="18"/>
      <c r="AL267" s="18"/>
    </row>
    <row r="268" spans="1:38" ht="12.95" customHeight="1" x14ac:dyDescent="0.2">
      <c r="A268" s="18"/>
      <c r="B268" s="18"/>
      <c r="C268" s="18"/>
      <c r="D268" s="18"/>
      <c r="E268" s="18"/>
      <c r="F268" s="18"/>
      <c r="G268" s="18"/>
      <c r="H268" s="18"/>
      <c r="I268" s="18"/>
      <c r="J268" s="18"/>
      <c r="K268" s="18"/>
      <c r="L268" s="18"/>
      <c r="M268" s="18"/>
      <c r="N268" s="18"/>
      <c r="O268" s="18"/>
      <c r="P268" s="18"/>
      <c r="Q268" s="18"/>
      <c r="R268" s="18"/>
      <c r="S268" s="55"/>
      <c r="T268" s="55"/>
      <c r="U268" s="55"/>
      <c r="V268" s="55"/>
      <c r="W268" s="55"/>
      <c r="X268" s="55"/>
      <c r="Y268" s="55"/>
      <c r="Z268" s="55"/>
      <c r="AA268" s="55"/>
      <c r="AB268" s="220"/>
      <c r="AC268" s="223" t="s">
        <v>163</v>
      </c>
      <c r="AD268" s="226">
        <f>AD137</f>
        <v>1.8142534697918959</v>
      </c>
      <c r="AE268" s="226">
        <f>AE137</f>
        <v>1.8142534697918959</v>
      </c>
      <c r="AF268" s="226">
        <f>AF137</f>
        <v>1.7383935465710181</v>
      </c>
      <c r="AG268" s="226">
        <f>AG137</f>
        <v>1.7383935465710181</v>
      </c>
      <c r="AH268" s="18"/>
      <c r="AI268" s="18"/>
      <c r="AJ268" s="18"/>
      <c r="AK268" s="18"/>
      <c r="AL268" s="18"/>
    </row>
    <row r="269" spans="1:38" x14ac:dyDescent="0.2">
      <c r="A269" s="18"/>
      <c r="B269" s="18"/>
      <c r="C269" s="18"/>
      <c r="D269" s="18"/>
      <c r="E269" s="18"/>
      <c r="F269" s="18"/>
      <c r="G269" s="18"/>
      <c r="H269" s="18"/>
      <c r="I269" s="18"/>
      <c r="J269" s="18"/>
      <c r="K269" s="18"/>
      <c r="L269" s="18"/>
      <c r="M269" s="18"/>
      <c r="N269" s="18"/>
      <c r="O269" s="18"/>
      <c r="P269" s="18"/>
      <c r="Q269" s="18"/>
      <c r="R269" s="18"/>
      <c r="S269" s="55"/>
      <c r="T269" s="55"/>
      <c r="U269" s="55"/>
      <c r="V269" s="55"/>
      <c r="W269" s="55"/>
      <c r="X269" s="55"/>
      <c r="Y269" s="55"/>
      <c r="Z269" s="55"/>
      <c r="AA269" s="55"/>
      <c r="AB269" s="630" t="s">
        <v>269</v>
      </c>
      <c r="AC269" s="227" t="s">
        <v>9</v>
      </c>
      <c r="AD269" s="228">
        <f>AD268-TINV((100-AD266)/100,AD267)*AD$139</f>
        <v>0.48331748372222227</v>
      </c>
      <c r="AE269" s="228">
        <f>AE268-TINV((100-AE266)/100,AE267)*AE139</f>
        <v>0.48331748372222227</v>
      </c>
      <c r="AF269" s="228">
        <f>AF268-TINV((100-AF266)/100,AF267)*AF139</f>
        <v>0.67942061054587999</v>
      </c>
      <c r="AG269" s="228">
        <f>AG268-TINV((100-AG266)/100,AG267)*AG139</f>
        <v>0.67942061054587999</v>
      </c>
      <c r="AH269" s="18"/>
      <c r="AI269" s="18"/>
      <c r="AJ269" s="18"/>
      <c r="AK269" s="18"/>
      <c r="AL269" s="18"/>
    </row>
    <row r="270" spans="1:38" x14ac:dyDescent="0.2">
      <c r="A270" s="18"/>
      <c r="B270" s="18"/>
      <c r="C270" s="18"/>
      <c r="D270" s="18"/>
      <c r="E270" s="18"/>
      <c r="F270" s="18"/>
      <c r="G270" s="18"/>
      <c r="H270" s="18"/>
      <c r="I270" s="18"/>
      <c r="J270" s="18"/>
      <c r="K270" s="18"/>
      <c r="L270" s="18"/>
      <c r="M270" s="18"/>
      <c r="N270" s="18"/>
      <c r="O270" s="18"/>
      <c r="P270" s="18"/>
      <c r="Q270" s="18"/>
      <c r="R270" s="18"/>
      <c r="S270" s="55"/>
      <c r="T270" s="55"/>
      <c r="U270" s="55"/>
      <c r="V270" s="55"/>
      <c r="W270" s="55"/>
      <c r="X270" s="55"/>
      <c r="Y270" s="55"/>
      <c r="Z270" s="55"/>
      <c r="AA270" s="55"/>
      <c r="AB270" s="631"/>
      <c r="AC270" s="229" t="s">
        <v>10</v>
      </c>
      <c r="AD270" s="230">
        <f>AD268+TINV((100-AD266)/100,AD267)*AD$139</f>
        <v>3.1451894558615696</v>
      </c>
      <c r="AE270" s="230">
        <f>AE268+TINV((100-AE266)/100,AE267)*AE139</f>
        <v>3.1451894558615696</v>
      </c>
      <c r="AF270" s="230">
        <f>AF268+TINV((100-AF266)/100,AF267)*AF139</f>
        <v>2.7973664825961562</v>
      </c>
      <c r="AG270" s="230">
        <f>AG268+TINV((100-AG266)/100,AG267)*AG139</f>
        <v>2.7973664825961562</v>
      </c>
      <c r="AH270" s="18"/>
      <c r="AI270" s="18"/>
      <c r="AJ270" s="18"/>
      <c r="AK270" s="18"/>
      <c r="AL270" s="18"/>
    </row>
    <row r="271" spans="1:38" ht="12.95" customHeight="1" x14ac:dyDescent="0.2">
      <c r="A271" s="18"/>
      <c r="B271" s="18"/>
      <c r="C271" s="18"/>
      <c r="D271" s="18"/>
      <c r="E271" s="18"/>
      <c r="F271" s="18"/>
      <c r="G271" s="18"/>
      <c r="H271" s="18"/>
      <c r="I271" s="18"/>
      <c r="J271" s="18"/>
      <c r="K271" s="18"/>
      <c r="L271" s="18"/>
      <c r="M271" s="18"/>
      <c r="N271" s="18"/>
      <c r="O271" s="18"/>
      <c r="P271" s="18"/>
      <c r="Q271" s="18"/>
      <c r="R271" s="18"/>
      <c r="S271" s="55"/>
      <c r="T271" s="55"/>
      <c r="U271" s="55"/>
      <c r="V271" s="55"/>
      <c r="W271" s="55"/>
      <c r="X271" s="55"/>
      <c r="Y271" s="55"/>
      <c r="Z271" s="55"/>
      <c r="AA271" s="55"/>
      <c r="AB271" s="632"/>
      <c r="AC271" s="231" t="s">
        <v>11</v>
      </c>
      <c r="AD271" s="232">
        <f>(AD270-AD269)/2</f>
        <v>1.3309359860696737</v>
      </c>
      <c r="AE271" s="232">
        <f>(AE270-AE269)/2</f>
        <v>1.3309359860696737</v>
      </c>
      <c r="AF271" s="232">
        <f>(AF270-AF269)/2</f>
        <v>1.0589729360251381</v>
      </c>
      <c r="AG271" s="232">
        <f>(AG270-AG269)/2</f>
        <v>1.0589729360251381</v>
      </c>
      <c r="AH271" s="18"/>
      <c r="AI271" s="18"/>
      <c r="AJ271" s="18"/>
      <c r="AK271" s="18"/>
      <c r="AL271" s="18"/>
    </row>
    <row r="272" spans="1:38" x14ac:dyDescent="0.2">
      <c r="A272" s="18"/>
      <c r="B272" s="18"/>
      <c r="C272" s="18"/>
      <c r="D272" s="18"/>
      <c r="E272" s="18"/>
      <c r="F272" s="18"/>
      <c r="G272" s="18"/>
      <c r="H272" s="18"/>
      <c r="I272" s="18"/>
      <c r="J272" s="18"/>
      <c r="K272" s="18"/>
      <c r="L272" s="18"/>
      <c r="M272" s="18"/>
      <c r="N272" s="18"/>
      <c r="O272" s="18"/>
      <c r="P272" s="18"/>
      <c r="Q272" s="18"/>
      <c r="R272" s="18"/>
      <c r="S272" s="55"/>
      <c r="T272" s="55"/>
      <c r="U272" s="55"/>
      <c r="V272" s="55"/>
      <c r="W272" s="55"/>
      <c r="X272" s="55"/>
      <c r="Y272" s="55"/>
      <c r="Z272" s="55"/>
      <c r="AA272" s="55"/>
      <c r="AB272" s="626" t="s">
        <v>82</v>
      </c>
      <c r="AC272" s="233" t="s">
        <v>13</v>
      </c>
      <c r="AD272" s="234" t="e">
        <f>AD203*AD215</f>
        <v>#VALUE!</v>
      </c>
      <c r="AE272" s="234" t="e">
        <f>AE203*AE215</f>
        <v>#VALUE!</v>
      </c>
      <c r="AF272" s="234" t="e">
        <f>AF203*AF215</f>
        <v>#VALUE!</v>
      </c>
      <c r="AG272" s="234" t="e">
        <f>AG203*AG215</f>
        <v>#VALUE!</v>
      </c>
      <c r="AH272" s="18"/>
      <c r="AI272" s="18"/>
      <c r="AJ272" s="18"/>
      <c r="AK272" s="18"/>
      <c r="AL272" s="18"/>
    </row>
    <row r="273" spans="1:38" ht="12.95" customHeight="1" x14ac:dyDescent="0.2">
      <c r="A273" s="18"/>
      <c r="B273" s="18"/>
      <c r="C273" s="18"/>
      <c r="D273" s="18"/>
      <c r="E273" s="18"/>
      <c r="F273" s="18"/>
      <c r="G273" s="18"/>
      <c r="H273" s="18"/>
      <c r="I273" s="18"/>
      <c r="J273" s="18"/>
      <c r="K273" s="18"/>
      <c r="L273" s="18"/>
      <c r="M273" s="18"/>
      <c r="N273" s="18"/>
      <c r="O273" s="18"/>
      <c r="P273" s="18"/>
      <c r="Q273" s="18"/>
      <c r="R273" s="18"/>
      <c r="S273" s="55"/>
      <c r="T273" s="55"/>
      <c r="U273" s="55"/>
      <c r="V273" s="55"/>
      <c r="W273" s="55"/>
      <c r="X273" s="55"/>
      <c r="Y273" s="55"/>
      <c r="Z273" s="55"/>
      <c r="AA273" s="55"/>
      <c r="AB273" s="627"/>
      <c r="AC273" s="235" t="s">
        <v>14</v>
      </c>
      <c r="AD273" s="234" t="e">
        <f>AD204*AD215</f>
        <v>#VALUE!</v>
      </c>
      <c r="AE273" s="234" t="e">
        <f>AE204*AE215</f>
        <v>#VALUE!</v>
      </c>
      <c r="AF273" s="234" t="e">
        <f>AF204*AF215</f>
        <v>#VALUE!</v>
      </c>
      <c r="AG273" s="234" t="e">
        <f>AG204*AG215</f>
        <v>#VALUE!</v>
      </c>
      <c r="AH273" s="18"/>
      <c r="AI273" s="18"/>
      <c r="AJ273" s="18"/>
      <c r="AK273" s="18"/>
      <c r="AL273" s="18"/>
    </row>
    <row r="274" spans="1:38" x14ac:dyDescent="0.2">
      <c r="A274" s="18"/>
      <c r="B274" s="18"/>
      <c r="C274" s="18"/>
      <c r="D274" s="18"/>
      <c r="E274" s="18"/>
      <c r="F274" s="18"/>
      <c r="G274" s="18"/>
      <c r="H274" s="18"/>
      <c r="I274" s="18"/>
      <c r="J274" s="18"/>
      <c r="K274" s="18"/>
      <c r="L274" s="18"/>
      <c r="M274" s="18"/>
      <c r="N274" s="18"/>
      <c r="O274" s="18"/>
      <c r="P274" s="18"/>
      <c r="Q274" s="18"/>
      <c r="R274" s="18"/>
      <c r="S274" s="55"/>
      <c r="T274" s="55"/>
      <c r="U274" s="55"/>
      <c r="V274" s="55"/>
      <c r="W274" s="55"/>
      <c r="X274" s="55"/>
      <c r="Y274" s="55"/>
      <c r="Z274" s="55"/>
      <c r="AA274" s="55"/>
      <c r="AB274" s="623" t="s">
        <v>15</v>
      </c>
      <c r="AC274" s="636" t="s">
        <v>13</v>
      </c>
      <c r="AD274" s="236" t="e">
        <f>IF(ISERROR(TDIST((AD272-AD$137)/AD$139,AD267,1)),1-TDIST((AD$137-AD272)/AD$139,AD267,1),TDIST((AD272-AD$137)/AD$139,AD267,1))*100</f>
        <v>#VALUE!</v>
      </c>
      <c r="AE274" s="236" t="e">
        <f>IF(ISERROR(TDIST((AE272-AE$137)/AE$139,AE267,1)),1-TDIST((AE$137-AE272)/AE$139,AE267,1),TDIST((AE272-AE$137)/AE$139,AE267,1))*100</f>
        <v>#VALUE!</v>
      </c>
      <c r="AF274" s="236" t="e">
        <f>IF(ISERROR(TDIST((AF272-AF$137)/AF$139,AF267,1)),1-TDIST((AF$137-AF272)/AF$139,AF267,1),TDIST((AF272-AF$137)/AF$139,AF267,1))*100</f>
        <v>#VALUE!</v>
      </c>
      <c r="AG274" s="236" t="e">
        <f>IF(ISERROR(TDIST((AG272-AG$137)/AG$139,AG267,1)),1-TDIST((AG$137-AG272)/AG$139,AG267,1),TDIST((AG272-AG$137)/AG$139,AG267,1))*100</f>
        <v>#VALUE!</v>
      </c>
      <c r="AH274" s="18"/>
      <c r="AI274" s="18"/>
      <c r="AJ274" s="18"/>
      <c r="AK274" s="18"/>
      <c r="AL274" s="18"/>
    </row>
    <row r="275" spans="1:38" ht="21.4" customHeight="1" x14ac:dyDescent="0.2">
      <c r="A275" s="18"/>
      <c r="B275" s="18"/>
      <c r="C275" s="18"/>
      <c r="D275" s="18"/>
      <c r="E275" s="18"/>
      <c r="F275" s="18"/>
      <c r="G275" s="18"/>
      <c r="H275" s="18"/>
      <c r="I275" s="18"/>
      <c r="J275" s="18"/>
      <c r="K275" s="18"/>
      <c r="L275" s="18"/>
      <c r="M275" s="18"/>
      <c r="N275" s="18"/>
      <c r="O275" s="18"/>
      <c r="P275" s="18"/>
      <c r="Q275" s="18"/>
      <c r="R275" s="18"/>
      <c r="S275" s="55"/>
      <c r="T275" s="55"/>
      <c r="U275" s="55"/>
      <c r="V275" s="55"/>
      <c r="W275" s="55"/>
      <c r="X275" s="55"/>
      <c r="Y275" s="55"/>
      <c r="Z275" s="55"/>
      <c r="AA275" s="55"/>
      <c r="AB275" s="624"/>
      <c r="AC275" s="642"/>
      <c r="AD275" s="237" t="e">
        <f>IF(AD274&lt;0.5,"most unlikely",IF(AD274&lt;5,"very unlikely",IF(AD274&lt;25,"unlikely",IF(AD274&lt;75,"possibly",IF(AD274&lt;95,"likely",IF(AD274&lt;99.5,"very likely","most likely"))))))</f>
        <v>#VALUE!</v>
      </c>
      <c r="AE275" s="237" t="e">
        <f>IF(AE274&lt;0.5,"most unlikely",IF(AE274&lt;5,"very unlikely",IF(AE274&lt;25,"unlikely",IF(AE274&lt;75,"possibly",IF(AE274&lt;95,"likely",IF(AE274&lt;99.5,"very likely","most likely"))))))</f>
        <v>#VALUE!</v>
      </c>
      <c r="AF275" s="237" t="e">
        <f>IF(AF274&lt;0.5,"most unlikely",IF(AF274&lt;5,"very unlikely",IF(AF274&lt;25,"unlikely",IF(AF274&lt;75,"possibly",IF(AF274&lt;95,"likely",IF(AF274&lt;99.5,"very likely","most likely"))))))</f>
        <v>#VALUE!</v>
      </c>
      <c r="AG275" s="237" t="e">
        <f>IF(AG274&lt;0.5,"most unlikely",IF(AG274&lt;5,"very unlikely",IF(AG274&lt;25,"unlikely",IF(AG274&lt;75,"possibly",IF(AG274&lt;95,"likely",IF(AG274&lt;99.5,"very likely","most likely"))))))</f>
        <v>#VALUE!</v>
      </c>
      <c r="AH275" s="18"/>
      <c r="AI275" s="18"/>
      <c r="AJ275" s="18"/>
      <c r="AK275" s="18"/>
      <c r="AL275" s="18"/>
    </row>
    <row r="276" spans="1:38" x14ac:dyDescent="0.2">
      <c r="A276" s="18"/>
      <c r="B276" s="18"/>
      <c r="C276" s="18"/>
      <c r="D276" s="18"/>
      <c r="E276" s="18"/>
      <c r="F276" s="18"/>
      <c r="G276" s="18"/>
      <c r="H276" s="18"/>
      <c r="I276" s="18"/>
      <c r="J276" s="18"/>
      <c r="K276" s="18"/>
      <c r="L276" s="18"/>
      <c r="M276" s="18"/>
      <c r="N276" s="18"/>
      <c r="O276" s="18"/>
      <c r="P276" s="18"/>
      <c r="Q276" s="18"/>
      <c r="R276" s="18"/>
      <c r="S276" s="55"/>
      <c r="T276" s="55"/>
      <c r="U276" s="55"/>
      <c r="V276" s="55"/>
      <c r="W276" s="55"/>
      <c r="X276" s="55"/>
      <c r="Y276" s="55"/>
      <c r="Z276" s="55"/>
      <c r="AA276" s="55"/>
      <c r="AB276" s="624"/>
      <c r="AC276" s="638" t="s">
        <v>12</v>
      </c>
      <c r="AD276" s="236" t="e">
        <f>100-AD274-AD278</f>
        <v>#VALUE!</v>
      </c>
      <c r="AE276" s="236" t="e">
        <f>100-AE274-AE278</f>
        <v>#VALUE!</v>
      </c>
      <c r="AF276" s="236" t="e">
        <f>100-AF274-AF278</f>
        <v>#VALUE!</v>
      </c>
      <c r="AG276" s="236" t="e">
        <f>100-AG274-AG278</f>
        <v>#VALUE!</v>
      </c>
      <c r="AH276" s="18"/>
      <c r="AI276" s="18"/>
      <c r="AJ276" s="18"/>
      <c r="AK276" s="18"/>
      <c r="AL276" s="18"/>
    </row>
    <row r="277" spans="1:38" ht="20.100000000000001" customHeight="1" x14ac:dyDescent="0.2">
      <c r="A277" s="18"/>
      <c r="B277" s="18"/>
      <c r="C277" s="18"/>
      <c r="D277" s="18"/>
      <c r="E277" s="18"/>
      <c r="F277" s="18"/>
      <c r="G277" s="18"/>
      <c r="H277" s="18"/>
      <c r="I277" s="18"/>
      <c r="J277" s="18"/>
      <c r="K277" s="18"/>
      <c r="L277" s="18"/>
      <c r="M277" s="18"/>
      <c r="N277" s="18"/>
      <c r="O277" s="18"/>
      <c r="P277" s="18"/>
      <c r="Q277" s="18"/>
      <c r="R277" s="18"/>
      <c r="S277" s="55"/>
      <c r="T277" s="55"/>
      <c r="U277" s="55"/>
      <c r="V277" s="55"/>
      <c r="W277" s="55"/>
      <c r="X277" s="55"/>
      <c r="Y277" s="55"/>
      <c r="Z277" s="55"/>
      <c r="AA277" s="55"/>
      <c r="AB277" s="624"/>
      <c r="AC277" s="637"/>
      <c r="AD277" s="237" t="e">
        <f>IF(AD276&lt;0.5,"most unlikely",IF(AD276&lt;5,"very unlikely",IF(AD276&lt;25,"unlikely",IF(AD276&lt;75,"possibly",IF(AD276&lt;95,"likely",IF(AD276&lt;99.5,"very likely","most likely"))))))</f>
        <v>#VALUE!</v>
      </c>
      <c r="AE277" s="237" t="e">
        <f>IF(AE276&lt;0.5,"most unlikely",IF(AE276&lt;5,"very unlikely",IF(AE276&lt;25,"unlikely",IF(AE276&lt;75,"possibly",IF(AE276&lt;95,"likely",IF(AE276&lt;99.5,"very likely","most likely"))))))</f>
        <v>#VALUE!</v>
      </c>
      <c r="AF277" s="237" t="e">
        <f>IF(AF276&lt;0.5,"most unlikely",IF(AF276&lt;5,"very unlikely",IF(AF276&lt;25,"unlikely",IF(AF276&lt;75,"possibly",IF(AF276&lt;95,"likely",IF(AF276&lt;99.5,"very likely","most likely"))))))</f>
        <v>#VALUE!</v>
      </c>
      <c r="AG277" s="237" t="e">
        <f>IF(AG276&lt;0.5,"most unlikely",IF(AG276&lt;5,"very unlikely",IF(AG276&lt;25,"unlikely",IF(AG276&lt;75,"possibly",IF(AG276&lt;95,"likely",IF(AG276&lt;99.5,"very likely","most likely"))))))</f>
        <v>#VALUE!</v>
      </c>
      <c r="AH277" s="18"/>
      <c r="AI277" s="18"/>
      <c r="AJ277" s="18"/>
      <c r="AK277" s="18"/>
      <c r="AL277" s="18"/>
    </row>
    <row r="278" spans="1:38" x14ac:dyDescent="0.2">
      <c r="A278" s="18"/>
      <c r="B278" s="18"/>
      <c r="C278" s="18"/>
      <c r="D278" s="18"/>
      <c r="E278" s="18"/>
      <c r="F278" s="18"/>
      <c r="G278" s="18"/>
      <c r="H278" s="18"/>
      <c r="I278" s="18"/>
      <c r="J278" s="18"/>
      <c r="K278" s="18"/>
      <c r="L278" s="18"/>
      <c r="M278" s="18"/>
      <c r="N278" s="18"/>
      <c r="O278" s="18"/>
      <c r="P278" s="18"/>
      <c r="Q278" s="18"/>
      <c r="R278" s="18"/>
      <c r="S278" s="55"/>
      <c r="T278" s="55"/>
      <c r="U278" s="55"/>
      <c r="V278" s="55"/>
      <c r="W278" s="55"/>
      <c r="X278" s="55"/>
      <c r="Y278" s="55"/>
      <c r="Z278" s="55"/>
      <c r="AA278" s="55"/>
      <c r="AB278" s="624"/>
      <c r="AC278" s="636" t="s">
        <v>14</v>
      </c>
      <c r="AD278" s="236" t="e">
        <f>IF(ISERROR(TDIST((AD273-AD$137)/AD$139,AD267,1)),TDIST((AD$137-AD273)/AD$139,AD267,1),1-TDIST((AD273-AD$137)/AD$139,AD267,1))*100</f>
        <v>#VALUE!</v>
      </c>
      <c r="AE278" s="236" t="e">
        <f>IF(ISERROR(TDIST((AE273-AE$137)/AE$139,AE267,1)),TDIST((AE$137-AE273)/AE$139,AE267,1),1-TDIST((AE273-AE$137)/AE$139,AE267,1))*100</f>
        <v>#VALUE!</v>
      </c>
      <c r="AF278" s="236" t="e">
        <f>IF(ISERROR(TDIST((AF273-AF$137)/AF$139,AF267,1)),TDIST((AF$137-AF273)/AF$139,AF267,1),1-TDIST((AF273-AF$137)/AF$139,AF267,1))*100</f>
        <v>#VALUE!</v>
      </c>
      <c r="AG278" s="236" t="e">
        <f>IF(ISERROR(TDIST((AG273-AG$137)/AG$139,AG267,1)),TDIST((AG$137-AG273)/AG$139,AG267,1),1-TDIST((AG273-AG$137)/AG$139,AG267,1))*100</f>
        <v>#VALUE!</v>
      </c>
      <c r="AH278" s="34"/>
      <c r="AI278" s="18"/>
      <c r="AJ278" s="18"/>
      <c r="AK278" s="18"/>
      <c r="AL278" s="18"/>
    </row>
    <row r="279" spans="1:38" ht="19.5" customHeight="1" x14ac:dyDescent="0.2">
      <c r="A279" s="18"/>
      <c r="B279" s="18"/>
      <c r="C279" s="18"/>
      <c r="D279" s="18"/>
      <c r="E279" s="18"/>
      <c r="F279" s="18"/>
      <c r="G279" s="18"/>
      <c r="H279" s="18"/>
      <c r="I279" s="18"/>
      <c r="J279" s="18"/>
      <c r="K279" s="18"/>
      <c r="L279" s="18"/>
      <c r="M279" s="18"/>
      <c r="N279" s="18"/>
      <c r="O279" s="18"/>
      <c r="P279" s="18"/>
      <c r="Q279" s="18"/>
      <c r="R279" s="18"/>
      <c r="S279" s="55"/>
      <c r="T279" s="55"/>
      <c r="U279" s="55"/>
      <c r="V279" s="55"/>
      <c r="W279" s="55"/>
      <c r="X279" s="55"/>
      <c r="Y279" s="55"/>
      <c r="Z279" s="55"/>
      <c r="AA279" s="55"/>
      <c r="AB279" s="625"/>
      <c r="AC279" s="637"/>
      <c r="AD279" s="237" t="e">
        <f>IF(AD278&lt;0.5,"most unlikely",IF(AD278&lt;5,"very unlikely",IF(AD278&lt;25,"unlikely",IF(AD278&lt;75,"possibly",IF(AD278&lt;95,"likely",IF(AD278&lt;99.5,"very likely","most likely"))))))</f>
        <v>#VALUE!</v>
      </c>
      <c r="AE279" s="237" t="e">
        <f>IF(AE278&lt;0.5,"most unlikely",IF(AE278&lt;5,"very unlikely",IF(AE278&lt;25,"unlikely",IF(AE278&lt;75,"possibly",IF(AE278&lt;95,"likely",IF(AE278&lt;99.5,"very likely","most likely"))))))</f>
        <v>#VALUE!</v>
      </c>
      <c r="AF279" s="237" t="e">
        <f>IF(AF278&lt;0.5,"most unlikely",IF(AF278&lt;5,"very unlikely",IF(AF278&lt;25,"unlikely",IF(AF278&lt;75,"possibly",IF(AF278&lt;95,"likely",IF(AF278&lt;99.5,"very likely","most likely"))))))</f>
        <v>#VALUE!</v>
      </c>
      <c r="AG279" s="237" t="e">
        <f>IF(AG278&lt;0.5,"most unlikely",IF(AG278&lt;5,"very unlikely",IF(AG278&lt;25,"unlikely",IF(AG278&lt;75,"possibly",IF(AG278&lt;95,"likely",IF(AG278&lt;99.5,"very likely","most likely"))))))</f>
        <v>#VALUE!</v>
      </c>
      <c r="AH279" s="18"/>
      <c r="AI279" s="18"/>
      <c r="AJ279" s="18"/>
      <c r="AK279" s="18"/>
      <c r="AL279" s="18"/>
    </row>
    <row r="280" spans="1:38" x14ac:dyDescent="0.2">
      <c r="A280" s="18"/>
      <c r="B280" s="18"/>
      <c r="C280" s="18"/>
      <c r="D280" s="18"/>
      <c r="E280" s="18"/>
      <c r="F280" s="18"/>
      <c r="G280" s="18"/>
      <c r="H280" s="18"/>
      <c r="I280" s="18"/>
      <c r="J280" s="18"/>
      <c r="K280" s="18"/>
      <c r="L280" s="18"/>
      <c r="M280" s="18"/>
      <c r="N280" s="18"/>
      <c r="O280" s="18"/>
      <c r="P280" s="18"/>
      <c r="Q280" s="18"/>
      <c r="R280" s="18"/>
      <c r="S280" s="55"/>
      <c r="T280" s="55"/>
      <c r="U280" s="55"/>
      <c r="V280" s="55"/>
      <c r="W280" s="55"/>
      <c r="X280" s="55"/>
      <c r="Y280" s="55"/>
      <c r="Z280" s="55"/>
      <c r="AA280" s="55"/>
      <c r="AB280" s="238"/>
      <c r="AC280" s="239"/>
      <c r="AD280" s="240"/>
      <c r="AE280" s="240"/>
      <c r="AF280" s="241"/>
      <c r="AG280" s="241"/>
      <c r="AH280" s="18"/>
      <c r="AI280" s="18"/>
      <c r="AJ280" s="18"/>
      <c r="AK280" s="18"/>
      <c r="AL280" s="18"/>
    </row>
    <row r="281" spans="1:38" ht="12.95" customHeight="1" x14ac:dyDescent="0.2">
      <c r="A281" s="18"/>
      <c r="B281" s="18"/>
      <c r="C281" s="18"/>
      <c r="D281" s="18"/>
      <c r="E281" s="18"/>
      <c r="F281" s="18"/>
      <c r="G281" s="18"/>
      <c r="H281" s="18"/>
      <c r="I281" s="18"/>
      <c r="J281" s="18"/>
      <c r="K281" s="18"/>
      <c r="L281" s="18"/>
      <c r="M281" s="18"/>
      <c r="N281" s="18"/>
      <c r="O281" s="18"/>
      <c r="P281" s="18"/>
      <c r="Q281" s="18"/>
      <c r="R281" s="18"/>
      <c r="S281" s="55"/>
      <c r="T281" s="55"/>
      <c r="U281" s="55"/>
      <c r="V281" s="55"/>
      <c r="W281" s="55"/>
      <c r="X281" s="55"/>
      <c r="Y281" s="55"/>
      <c r="Z281" s="55"/>
      <c r="AA281" s="55"/>
      <c r="AB281" s="220"/>
      <c r="AC281" s="242" t="s">
        <v>167</v>
      </c>
      <c r="AD281" s="243">
        <f>IF(ISERROR(SQRT(AD106^2-AD73^2)),-SQRT(AD73^2-AD106^2),SQRT(AD106^2-AD73^2))</f>
        <v>2.3758415063299942</v>
      </c>
      <c r="AE281" s="243">
        <f>IF(ISERROR(SQRT(AE106^2-AE73^2)),-SQRT(AE73^2-AE106^2),SQRT(AE106^2-AE73^2))</f>
        <v>2.3758415063299942</v>
      </c>
      <c r="AF281" s="244">
        <f>IF(ISERROR(SQRT(AF106^2-AF73^2)),-SQRT(AF73^2-AF106^2),SQRT(AF106^2-AF73^2))</f>
        <v>0.77787971135528711</v>
      </c>
      <c r="AG281" s="244">
        <f>IF(ISERROR(SQRT(AG106^2-AG73^2)),-SQRT(AG73^2-AG106^2),SQRT(AG106^2-AG73^2))</f>
        <v>0.77787971135528711</v>
      </c>
      <c r="AH281" s="18"/>
      <c r="AI281" s="18"/>
      <c r="AJ281" s="18"/>
      <c r="AK281" s="18"/>
      <c r="AL281" s="18"/>
    </row>
    <row r="282" spans="1:38" x14ac:dyDescent="0.2">
      <c r="A282" s="18"/>
      <c r="B282" s="18"/>
      <c r="C282" s="18"/>
      <c r="D282" s="18"/>
      <c r="E282" s="18"/>
      <c r="F282" s="18"/>
      <c r="G282" s="18"/>
      <c r="H282" s="18"/>
      <c r="I282" s="18"/>
      <c r="J282" s="18"/>
      <c r="K282" s="18"/>
      <c r="L282" s="18"/>
      <c r="M282" s="18"/>
      <c r="N282" s="18"/>
      <c r="O282" s="18"/>
      <c r="P282" s="18"/>
      <c r="Q282" s="18"/>
      <c r="R282" s="18"/>
      <c r="S282" s="55"/>
      <c r="T282" s="55"/>
      <c r="U282" s="55"/>
      <c r="V282" s="55"/>
      <c r="W282" s="55"/>
      <c r="X282" s="55"/>
      <c r="Y282" s="55"/>
      <c r="Z282" s="55"/>
      <c r="AA282" s="55"/>
      <c r="AB282" s="614" t="s">
        <v>268</v>
      </c>
      <c r="AC282" s="227" t="s">
        <v>9</v>
      </c>
      <c r="AD282" s="228">
        <f>IF(ISERROR(SQRT(AD106^2-AD73^2+NORMINV(0.5-AD266/200,0,1)*SQRT(2*AD73^4/AD75+2*AD106^4/AD108))),-SQRT(-(AD106^2-AD73^2+NORMINV(0.5-AD266/200,0,1)*SQRT(2*AD73^4/AD75+2*AD106^4/AD108))),SQRT(AD106^2-AD73^2+NORMINV(0.5-AD266/200,0,1)*SQRT(2*AD73^4/AD75+2*AD106^4/AD108)))</f>
        <v>0.72775575121317282</v>
      </c>
      <c r="AE282" s="228">
        <f>IF(ISERROR(SQRT(AE106^2-AE73^2+NORMINV(0.5-AE266/200,0,1)*SQRT(2*AE73^4/AE75+2*AE106^4/AE108))),-SQRT(-(AE106^2-AE73^2+NORMINV(0.5-AE266/200,0,1)*SQRT(2*AE73^4/AE75+2*AE106^4/AE108))),SQRT(AE106^2-AE73^2+NORMINV(0.5-AE266/200,0,1)*SQRT(2*AE73^4/AE75+2*AE106^4/AE108)))</f>
        <v>0.72775575121317282</v>
      </c>
      <c r="AF282" s="228">
        <f>IF(ISERROR(SQRT(AF106^2-AF73^2+NORMINV(0.5-AF266/200,0,1)*SQRT(2*AF73^4/AF75+2*AF106^4/AF108))),-SQRT(-(AF106^2-AF73^2+NORMINV(0.5-AF266/200,0,1)*SQRT(2*AF73^4/AF75+2*AF106^4/AF108))),SQRT(AF106^2-AF73^2+NORMINV(0.5-AF266/200,0,1)*SQRT(2*AF73^4/AF75+2*AF106^4/AF108)))</f>
        <v>-1.5683376862792378</v>
      </c>
      <c r="AG282" s="228">
        <f>IF(ISERROR(SQRT(AG106^2-AG73^2+NORMINV(0.5-AG266/200,0,1)*SQRT(2*AG73^4/AG75+2*AG106^4/AG108))),-SQRT(-(AG106^2-AG73^2+NORMINV(0.5-AG266/200,0,1)*SQRT(2*AG73^4/AG75+2*AG106^4/AG108))),SQRT(AG106^2-AG73^2+NORMINV(0.5-AG266/200,0,1)*SQRT(2*AG73^4/AG75+2*AG106^4/AG108)))</f>
        <v>-1.5683376862792378</v>
      </c>
      <c r="AH282" s="18"/>
      <c r="AI282" s="18"/>
      <c r="AJ282" s="18"/>
      <c r="AK282" s="18"/>
      <c r="AL282" s="18"/>
    </row>
    <row r="283" spans="1:38" x14ac:dyDescent="0.2">
      <c r="A283" s="18"/>
      <c r="B283" s="18"/>
      <c r="C283" s="18"/>
      <c r="D283" s="18"/>
      <c r="E283" s="18"/>
      <c r="F283" s="18"/>
      <c r="G283" s="18"/>
      <c r="H283" s="18"/>
      <c r="I283" s="18"/>
      <c r="J283" s="18"/>
      <c r="K283" s="18"/>
      <c r="L283" s="18"/>
      <c r="M283" s="18"/>
      <c r="N283" s="18"/>
      <c r="O283" s="18"/>
      <c r="P283" s="18"/>
      <c r="Q283" s="18"/>
      <c r="R283" s="18"/>
      <c r="S283" s="55"/>
      <c r="T283" s="55"/>
      <c r="U283" s="55"/>
      <c r="V283" s="55"/>
      <c r="W283" s="55"/>
      <c r="X283" s="55"/>
      <c r="Y283" s="55"/>
      <c r="Z283" s="55"/>
      <c r="AA283" s="55"/>
      <c r="AB283" s="615"/>
      <c r="AC283" s="229" t="s">
        <v>10</v>
      </c>
      <c r="AD283" s="245">
        <f>IF(ISERROR(SQRT(AD106^2-AD73^2+NORMINV(0.5+AD266/200,0,1)*SQRT(2*AD73^4/AD75+2*AD106^4/AD108))),-SQRT(-(AD106^2-AD73^2+NORMINV(0.5+AD266/200,0,1)*SQRT(2*AD73^4/AD75+2*AD106^4/AD108))),SQRT(AD106^2-AD73^2+NORMINV(0.5+AD266/200,0,1)*SQRT(2*AD73^4/AD75+2*AD106^4/AD108)))</f>
        <v>3.2801855577050669</v>
      </c>
      <c r="AE283" s="245">
        <f>IF(ISERROR(SQRT(AE106^2-AE73^2+NORMINV(0.5+AE266/200,0,1)*SQRT(2*AE73^4/AE75+2*AE106^4/AE108))),-SQRT(-(AE106^2-AE73^2+NORMINV(0.5+AE266/200,0,1)*SQRT(2*AE73^4/AE75+2*AE106^4/AE108))),SQRT(AE106^2-AE73^2+NORMINV(0.5+AE266/200,0,1)*SQRT(2*AE73^4/AE75+2*AE106^4/AE108)))</f>
        <v>3.2801855577050669</v>
      </c>
      <c r="AF283" s="245">
        <f>IF(ISERROR(SQRT(AF106^2-AF73^2+NORMINV(0.5+AF266/200,0,1)*SQRT(2*AF73^4/AF75+2*AF106^4/AF108))),-SQRT(-(AF106^2-AF73^2+NORMINV(0.5+AF266/200,0,1)*SQRT(2*AF73^4/AF75+2*AF106^4/AF108))),SQRT(AF106^2-AF73^2+NORMINV(0.5+AF266/200,0,1)*SQRT(2*AF73^4/AF75+2*AF106^4/AF108)))</f>
        <v>1.9156922479563572</v>
      </c>
      <c r="AG283" s="245">
        <f>IF(ISERROR(SQRT(AG106^2-AG73^2+NORMINV(0.5+AG266/200,0,1)*SQRT(2*AG73^4/AG75+2*AG106^4/AG108))),-SQRT(-(AG106^2-AG73^2+NORMINV(0.5+AG266/200,0,1)*SQRT(2*AG73^4/AG75+2*AG106^4/AG108))),SQRT(AG106^2-AG73^2+NORMINV(0.5+AG266/200,0,1)*SQRT(2*AG73^4/AG75+2*AG106^4/AG108)))</f>
        <v>1.9156922479563572</v>
      </c>
      <c r="AH283" s="18"/>
      <c r="AI283" s="18"/>
      <c r="AJ283" s="18"/>
      <c r="AK283" s="18"/>
      <c r="AL283" s="18"/>
    </row>
    <row r="284" spans="1:38"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row>
    <row r="285" spans="1:38"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row>
    <row r="286" spans="1:38"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row>
  </sheetData>
  <mergeCells count="227">
    <mergeCell ref="B34:C35"/>
    <mergeCell ref="AD83:AE83"/>
    <mergeCell ref="AF83:AG83"/>
    <mergeCell ref="M83:N83"/>
    <mergeCell ref="O83:P83"/>
    <mergeCell ref="AD264:AE264"/>
    <mergeCell ref="AF264:AG264"/>
    <mergeCell ref="M195:N195"/>
    <mergeCell ref="O195:P195"/>
    <mergeCell ref="AD195:AE195"/>
    <mergeCell ref="AF195:AG195"/>
    <mergeCell ref="M239:N239"/>
    <mergeCell ref="O239:P239"/>
    <mergeCell ref="AD239:AE239"/>
    <mergeCell ref="AF239:AG239"/>
    <mergeCell ref="M143:N143"/>
    <mergeCell ref="O143:P143"/>
    <mergeCell ref="AD143:AE143"/>
    <mergeCell ref="AF143:AG143"/>
    <mergeCell ref="M169:N169"/>
    <mergeCell ref="O169:P169"/>
    <mergeCell ref="AD169:AE169"/>
    <mergeCell ref="AF169:AG169"/>
    <mergeCell ref="AB160:AC160"/>
    <mergeCell ref="AD49:AE49"/>
    <mergeCell ref="AF49:AG49"/>
    <mergeCell ref="AD50:AD51"/>
    <mergeCell ref="AB42:AC43"/>
    <mergeCell ref="AD42:AE42"/>
    <mergeCell ref="AF42:AG42"/>
    <mergeCell ref="AB45:AC45"/>
    <mergeCell ref="AB46:AC46"/>
    <mergeCell ref="AG50:AG51"/>
    <mergeCell ref="AE50:AE51"/>
    <mergeCell ref="AF50:AF51"/>
    <mergeCell ref="AB50:AC50"/>
    <mergeCell ref="AB51:AC51"/>
    <mergeCell ref="K42:L43"/>
    <mergeCell ref="M42:N42"/>
    <mergeCell ref="O42:P42"/>
    <mergeCell ref="K45:L45"/>
    <mergeCell ref="M49:N49"/>
    <mergeCell ref="O49:P49"/>
    <mergeCell ref="K46:L46"/>
    <mergeCell ref="M50:M51"/>
    <mergeCell ref="N50:N51"/>
    <mergeCell ref="O50:O51"/>
    <mergeCell ref="P50:P51"/>
    <mergeCell ref="K50:L50"/>
    <mergeCell ref="K51:L51"/>
    <mergeCell ref="AC278:AC279"/>
    <mergeCell ref="S191:S192"/>
    <mergeCell ref="S217:S218"/>
    <mergeCell ref="S214:T214"/>
    <mergeCell ref="AB196:AC196"/>
    <mergeCell ref="AC276:AC277"/>
    <mergeCell ref="AB260:AB262"/>
    <mergeCell ref="S203:S204"/>
    <mergeCell ref="AB203:AB204"/>
    <mergeCell ref="AB211:AC211"/>
    <mergeCell ref="AB240:AC240"/>
    <mergeCell ref="AB213:AC213"/>
    <mergeCell ref="AB214:AC214"/>
    <mergeCell ref="T207:T208"/>
    <mergeCell ref="S211:T211"/>
    <mergeCell ref="AC274:AC275"/>
    <mergeCell ref="S200:S202"/>
    <mergeCell ref="AB200:AB202"/>
    <mergeCell ref="AB245:AB247"/>
    <mergeCell ref="C207:C208"/>
    <mergeCell ref="C209:C210"/>
    <mergeCell ref="L209:L210"/>
    <mergeCell ref="K203:K204"/>
    <mergeCell ref="K212:L212"/>
    <mergeCell ref="B196:C196"/>
    <mergeCell ref="S213:T213"/>
    <mergeCell ref="AB272:AB273"/>
    <mergeCell ref="AB250:AB252"/>
    <mergeCell ref="B214:C214"/>
    <mergeCell ref="K250:K252"/>
    <mergeCell ref="K245:K247"/>
    <mergeCell ref="AB269:AB271"/>
    <mergeCell ref="K240:L240"/>
    <mergeCell ref="B217:B218"/>
    <mergeCell ref="K200:K202"/>
    <mergeCell ref="B200:B202"/>
    <mergeCell ref="S144:T144"/>
    <mergeCell ref="AB274:AB279"/>
    <mergeCell ref="L205:L206"/>
    <mergeCell ref="L207:L208"/>
    <mergeCell ref="T205:T206"/>
    <mergeCell ref="S205:S210"/>
    <mergeCell ref="S212:T212"/>
    <mergeCell ref="AB212:AC212"/>
    <mergeCell ref="T209:T210"/>
    <mergeCell ref="AB205:AB210"/>
    <mergeCell ref="AC205:AC206"/>
    <mergeCell ref="AC207:AC208"/>
    <mergeCell ref="AC209:AC210"/>
    <mergeCell ref="AB144:AC144"/>
    <mergeCell ref="AC153:AC154"/>
    <mergeCell ref="S151:S152"/>
    <mergeCell ref="T183:T184"/>
    <mergeCell ref="AB159:AC159"/>
    <mergeCell ref="AB162:AC162"/>
    <mergeCell ref="AB153:AB158"/>
    <mergeCell ref="AB177:AB178"/>
    <mergeCell ref="AC157:AC158"/>
    <mergeCell ref="AC181:AC182"/>
    <mergeCell ref="T179:T180"/>
    <mergeCell ref="AB282:AB283"/>
    <mergeCell ref="AB217:AB218"/>
    <mergeCell ref="K148:K150"/>
    <mergeCell ref="K151:K152"/>
    <mergeCell ref="L153:L154"/>
    <mergeCell ref="L155:L156"/>
    <mergeCell ref="L157:L158"/>
    <mergeCell ref="K160:L160"/>
    <mergeCell ref="K161:L161"/>
    <mergeCell ref="K162:L162"/>
    <mergeCell ref="S162:T162"/>
    <mergeCell ref="S161:T161"/>
    <mergeCell ref="S148:S150"/>
    <mergeCell ref="T155:T156"/>
    <mergeCell ref="T157:T158"/>
    <mergeCell ref="AB148:AB149"/>
    <mergeCell ref="S185:T185"/>
    <mergeCell ref="K170:L170"/>
    <mergeCell ref="T181:T182"/>
    <mergeCell ref="S186:T186"/>
    <mergeCell ref="S190:T190"/>
    <mergeCell ref="S188:T188"/>
    <mergeCell ref="AB174:AB175"/>
    <mergeCell ref="AB151:AB152"/>
    <mergeCell ref="B144:C144"/>
    <mergeCell ref="B148:B150"/>
    <mergeCell ref="S177:S178"/>
    <mergeCell ref="B170:C170"/>
    <mergeCell ref="B151:B152"/>
    <mergeCell ref="B153:B158"/>
    <mergeCell ref="C153:C154"/>
    <mergeCell ref="C155:C156"/>
    <mergeCell ref="C157:C158"/>
    <mergeCell ref="S164:T164"/>
    <mergeCell ref="B161:C161"/>
    <mergeCell ref="K153:K158"/>
    <mergeCell ref="S159:T159"/>
    <mergeCell ref="B159:C159"/>
    <mergeCell ref="B162:C162"/>
    <mergeCell ref="B160:C160"/>
    <mergeCell ref="S165:S166"/>
    <mergeCell ref="B165:B166"/>
    <mergeCell ref="K159:L159"/>
    <mergeCell ref="S160:T160"/>
    <mergeCell ref="K165:K166"/>
    <mergeCell ref="K144:L144"/>
    <mergeCell ref="S170:T170"/>
    <mergeCell ref="T153:T154"/>
    <mergeCell ref="B164:C164"/>
    <mergeCell ref="AB179:AB184"/>
    <mergeCell ref="AB191:AB192"/>
    <mergeCell ref="AC183:AC184"/>
    <mergeCell ref="AB185:AC185"/>
    <mergeCell ref="AB187:AC187"/>
    <mergeCell ref="AB188:AC188"/>
    <mergeCell ref="AB186:AC186"/>
    <mergeCell ref="S187:T187"/>
    <mergeCell ref="S174:S176"/>
    <mergeCell ref="AB165:AB166"/>
    <mergeCell ref="B49:C50"/>
    <mergeCell ref="S49:T50"/>
    <mergeCell ref="K213:L213"/>
    <mergeCell ref="K214:L214"/>
    <mergeCell ref="B212:C212"/>
    <mergeCell ref="B213:C213"/>
    <mergeCell ref="AB265:AC265"/>
    <mergeCell ref="K217:K218"/>
    <mergeCell ref="S196:T196"/>
    <mergeCell ref="K196:L196"/>
    <mergeCell ref="C205:C206"/>
    <mergeCell ref="B211:C211"/>
    <mergeCell ref="K211:L211"/>
    <mergeCell ref="B203:B204"/>
    <mergeCell ref="K205:K210"/>
    <mergeCell ref="B205:B210"/>
    <mergeCell ref="B125:E125"/>
    <mergeCell ref="S125:V125"/>
    <mergeCell ref="AB161:AC161"/>
    <mergeCell ref="AB170:AC170"/>
    <mergeCell ref="AC179:AC180"/>
    <mergeCell ref="AC155:AC156"/>
    <mergeCell ref="S153:S158"/>
    <mergeCell ref="S179:S184"/>
    <mergeCell ref="AD220:AE220"/>
    <mergeCell ref="AF220:AG220"/>
    <mergeCell ref="M220:N220"/>
    <mergeCell ref="O220:P220"/>
    <mergeCell ref="AB255:AB257"/>
    <mergeCell ref="K221:L221"/>
    <mergeCell ref="K224:K226"/>
    <mergeCell ref="K227:K228"/>
    <mergeCell ref="K229:K234"/>
    <mergeCell ref="L229:L230"/>
    <mergeCell ref="L231:L232"/>
    <mergeCell ref="L233:L234"/>
    <mergeCell ref="K235:L235"/>
    <mergeCell ref="AB221:AC221"/>
    <mergeCell ref="AB224:AB226"/>
    <mergeCell ref="AB227:AB228"/>
    <mergeCell ref="AB229:AB234"/>
    <mergeCell ref="AC229:AC230"/>
    <mergeCell ref="AC231:AC232"/>
    <mergeCell ref="AC233:AC234"/>
    <mergeCell ref="AB235:AC235"/>
    <mergeCell ref="AH168:AL168"/>
    <mergeCell ref="AH154:AL154"/>
    <mergeCell ref="AH169:AH170"/>
    <mergeCell ref="AH132:AH135"/>
    <mergeCell ref="AH131:AL131"/>
    <mergeCell ref="AH108:AL108"/>
    <mergeCell ref="AH185:AL185"/>
    <mergeCell ref="AI49:AL49"/>
    <mergeCell ref="AI83:AL83"/>
    <mergeCell ref="AI50:AI51"/>
    <mergeCell ref="AJ50:AJ51"/>
    <mergeCell ref="AK50:AK51"/>
    <mergeCell ref="AL50:AL51"/>
  </mergeCells>
  <phoneticPr fontId="0" type="noConversion"/>
  <pageMargins left="0.75" right="0.75" top="1" bottom="1" header="0.5" footer="0.5"/>
  <pageSetup paperSize="9" orientation="portrait" horizontalDpi="300" verticalDpi="300" r:id="rId1"/>
  <headerFooter alignWithMargins="0"/>
  <ignoredErrors>
    <ignoredError sqref="D39"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2"/>
  <sheetViews>
    <sheetView zoomScale="70" zoomScaleNormal="70" workbookViewId="0">
      <selection activeCell="B11" sqref="B11:F40"/>
    </sheetView>
  </sheetViews>
  <sheetFormatPr defaultRowHeight="12.75" x14ac:dyDescent="0.2"/>
  <cols>
    <col min="1" max="1" width="3.42578125" style="1" customWidth="1"/>
    <col min="2" max="2" width="13.5703125" customWidth="1"/>
    <col min="3" max="3" width="13.28515625" customWidth="1"/>
    <col min="4" max="4" width="7.5703125" customWidth="1"/>
    <col min="5" max="10" width="7.42578125" customWidth="1"/>
    <col min="11" max="11" width="18" customWidth="1"/>
    <col min="12" max="12" width="12.42578125" customWidth="1"/>
    <col min="13" max="13" width="37.140625" style="1" customWidth="1"/>
    <col min="14" max="14" width="5.7109375" style="1" customWidth="1"/>
    <col min="15" max="15" width="13.5703125" customWidth="1"/>
    <col min="16" max="16" width="12.7109375" customWidth="1"/>
    <col min="17" max="17" width="7.85546875" customWidth="1"/>
    <col min="18" max="23" width="7.42578125" customWidth="1"/>
    <col min="24" max="24" width="19.42578125" customWidth="1"/>
    <col min="25" max="25" width="12.42578125" customWidth="1"/>
    <col min="26" max="26" width="37.140625" style="1" customWidth="1"/>
    <col min="27" max="28" width="8.85546875" style="1"/>
  </cols>
  <sheetData>
    <row r="1" spans="1:29" s="6" customFormat="1" ht="12" customHeight="1" x14ac:dyDescent="0.2">
      <c r="A1" s="18"/>
      <c r="B1" s="18"/>
      <c r="C1" s="18"/>
      <c r="D1" s="18"/>
      <c r="E1" s="18"/>
      <c r="F1" s="18"/>
      <c r="G1" s="18"/>
      <c r="H1" s="18"/>
      <c r="I1" s="18"/>
      <c r="J1" s="18"/>
      <c r="K1" s="18"/>
      <c r="L1" s="18"/>
      <c r="M1" s="31"/>
      <c r="N1" s="31"/>
      <c r="O1" s="31"/>
      <c r="P1" s="31"/>
      <c r="Q1" s="31"/>
      <c r="R1" s="31"/>
      <c r="S1" s="31"/>
      <c r="T1" s="31"/>
      <c r="U1" s="31"/>
      <c r="V1" s="31"/>
      <c r="W1" s="31"/>
      <c r="X1" s="31"/>
      <c r="Y1" s="31"/>
      <c r="Z1" s="31"/>
      <c r="AA1" s="31"/>
      <c r="AB1" s="31"/>
    </row>
    <row r="2" spans="1:29" s="6" customFormat="1" ht="12" customHeight="1" x14ac:dyDescent="0.2">
      <c r="A2" s="18"/>
      <c r="B2" s="18"/>
      <c r="C2" s="18"/>
      <c r="D2" s="18"/>
      <c r="E2" s="18"/>
      <c r="F2" s="18"/>
      <c r="G2" s="18"/>
      <c r="H2" s="18"/>
      <c r="I2" s="18"/>
      <c r="J2" s="18"/>
      <c r="K2" s="18"/>
      <c r="L2" s="18"/>
      <c r="M2" s="31"/>
      <c r="N2" s="31"/>
      <c r="O2" s="31"/>
      <c r="P2" s="31"/>
      <c r="Q2" s="31"/>
      <c r="R2" s="31"/>
      <c r="S2" s="31"/>
      <c r="T2" s="31"/>
      <c r="U2" s="31"/>
      <c r="V2" s="31"/>
      <c r="W2" s="31"/>
      <c r="X2" s="31"/>
      <c r="Y2" s="31"/>
      <c r="Z2" s="31" t="s">
        <v>144</v>
      </c>
      <c r="AA2" s="31"/>
      <c r="AB2" s="31"/>
    </row>
    <row r="3" spans="1:29" s="6" customFormat="1" ht="12" customHeight="1" x14ac:dyDescent="0.2">
      <c r="A3" s="18"/>
      <c r="B3" s="18"/>
      <c r="C3" s="18"/>
      <c r="D3" s="18"/>
      <c r="E3" s="18"/>
      <c r="F3" s="18"/>
      <c r="G3" s="18"/>
      <c r="H3" s="18"/>
      <c r="I3" s="18"/>
      <c r="J3" s="18"/>
      <c r="K3" s="18"/>
      <c r="L3" s="18"/>
      <c r="M3" s="31"/>
      <c r="N3" s="31"/>
      <c r="O3" s="31"/>
      <c r="P3" s="255"/>
      <c r="Q3" s="256"/>
      <c r="R3" s="257" t="s">
        <v>139</v>
      </c>
      <c r="S3" s="333">
        <f>Sheet1!W12</f>
        <v>0.06</v>
      </c>
      <c r="T3" s="31"/>
      <c r="U3" s="31"/>
      <c r="V3" s="31"/>
      <c r="W3" s="31"/>
      <c r="X3" s="31"/>
      <c r="Y3" s="31"/>
      <c r="Z3" s="31" t="s">
        <v>140</v>
      </c>
      <c r="AA3" s="31"/>
      <c r="AB3" s="31"/>
    </row>
    <row r="4" spans="1:29" s="6" customFormat="1" ht="12" customHeight="1" x14ac:dyDescent="0.2">
      <c r="A4" s="18"/>
      <c r="B4" s="18"/>
      <c r="C4" s="18"/>
      <c r="D4" s="18"/>
      <c r="E4" s="18"/>
      <c r="F4" s="18"/>
      <c r="G4" s="18"/>
      <c r="H4" s="18"/>
      <c r="I4" s="18"/>
      <c r="J4" s="18"/>
      <c r="K4" s="18"/>
      <c r="L4" s="18"/>
      <c r="M4" s="31"/>
      <c r="N4" s="31"/>
      <c r="O4" s="31"/>
      <c r="P4" s="31"/>
      <c r="Q4" s="31"/>
      <c r="R4" s="31"/>
      <c r="S4" s="31"/>
      <c r="T4" s="31"/>
      <c r="U4" s="31"/>
      <c r="V4" s="31"/>
      <c r="W4" s="31"/>
      <c r="X4" s="31"/>
      <c r="Y4" s="31"/>
      <c r="Z4" s="31" t="s">
        <v>141</v>
      </c>
      <c r="AA4" s="31"/>
      <c r="AB4" s="31"/>
    </row>
    <row r="5" spans="1:29" s="6" customFormat="1" ht="12" customHeight="1" x14ac:dyDescent="0.2">
      <c r="A5" s="18"/>
      <c r="B5" s="18"/>
      <c r="C5" s="18"/>
      <c r="D5" s="18"/>
      <c r="E5" s="18"/>
      <c r="F5" s="18"/>
      <c r="G5" s="18"/>
      <c r="H5" s="18"/>
      <c r="I5" s="18"/>
      <c r="J5" s="18"/>
      <c r="K5" s="18"/>
      <c r="L5" s="18"/>
      <c r="M5" s="31"/>
      <c r="N5" s="31"/>
      <c r="O5" s="31"/>
      <c r="P5" s="31"/>
      <c r="Q5" s="31"/>
      <c r="R5" s="17" t="s">
        <v>89</v>
      </c>
      <c r="S5" s="39" t="str">
        <f>F46</f>
        <v>Pre1</v>
      </c>
      <c r="T5" s="39" t="str">
        <f>G46</f>
        <v>Pre2</v>
      </c>
      <c r="U5" s="39" t="str">
        <f>H46</f>
        <v>Post1</v>
      </c>
      <c r="V5" s="39" t="str">
        <f>I46</f>
        <v>Post2</v>
      </c>
      <c r="W5" s="39" t="str">
        <f>J46</f>
        <v>Post3</v>
      </c>
      <c r="X5" s="31"/>
      <c r="Y5" s="31"/>
      <c r="Z5" s="31" t="s">
        <v>142</v>
      </c>
      <c r="AA5" s="31"/>
      <c r="AB5" s="31"/>
    </row>
    <row r="6" spans="1:29" s="6" customFormat="1" ht="12" customHeight="1" x14ac:dyDescent="0.2">
      <c r="A6" s="18"/>
      <c r="B6" s="18"/>
      <c r="C6" s="18"/>
      <c r="D6" s="18"/>
      <c r="E6" s="18"/>
      <c r="F6" s="18"/>
      <c r="G6" s="18"/>
      <c r="H6" s="18"/>
      <c r="I6" s="18"/>
      <c r="J6" s="18"/>
      <c r="K6" s="18"/>
      <c r="L6" s="18"/>
      <c r="M6" s="31"/>
      <c r="N6" s="31"/>
      <c r="O6" s="31"/>
      <c r="P6" s="31"/>
      <c r="Q6" s="31"/>
      <c r="R6" s="31" t="str">
        <f>B47</f>
        <v>Control</v>
      </c>
      <c r="S6" s="31"/>
      <c r="T6" s="31"/>
      <c r="U6" s="31"/>
      <c r="V6" s="31"/>
      <c r="W6" s="31"/>
      <c r="X6" s="31"/>
      <c r="Y6" s="31"/>
      <c r="Z6" s="31" t="s">
        <v>143</v>
      </c>
      <c r="AA6" s="31"/>
      <c r="AB6" s="31"/>
    </row>
    <row r="7" spans="1:29" s="6" customFormat="1" ht="12" customHeight="1" x14ac:dyDescent="0.2">
      <c r="A7" s="18"/>
      <c r="B7" s="18"/>
      <c r="C7" s="18"/>
      <c r="D7" s="18"/>
      <c r="E7" s="18"/>
      <c r="F7" s="18"/>
      <c r="G7" s="18"/>
      <c r="H7" s="18"/>
      <c r="I7" s="18"/>
      <c r="J7" s="18"/>
      <c r="K7" s="18"/>
      <c r="L7" s="18"/>
      <c r="M7" s="31"/>
      <c r="N7" s="31" t="s">
        <v>153</v>
      </c>
      <c r="O7" s="31"/>
      <c r="P7" s="31"/>
      <c r="Q7" s="31"/>
      <c r="R7" s="17" t="s">
        <v>145</v>
      </c>
      <c r="S7" s="40">
        <f>F44-$S$3</f>
        <v>0.94</v>
      </c>
      <c r="T7" s="40">
        <f>G44-$S$3</f>
        <v>1.94</v>
      </c>
      <c r="U7" s="40">
        <f>H44-$S$3</f>
        <v>2.94</v>
      </c>
      <c r="V7" s="40">
        <f>I44-$S$3</f>
        <v>3.94</v>
      </c>
      <c r="W7" s="40">
        <f>J44-$S$3</f>
        <v>4.9400000000000004</v>
      </c>
      <c r="X7" s="31"/>
      <c r="Y7" s="31"/>
      <c r="Z7" s="31"/>
      <c r="AA7" s="31"/>
      <c r="AB7" s="31"/>
    </row>
    <row r="8" spans="1:29" s="6" customFormat="1" ht="12" customHeight="1" x14ac:dyDescent="0.2">
      <c r="A8" s="18"/>
      <c r="B8" s="18"/>
      <c r="C8" s="18"/>
      <c r="D8" s="18"/>
      <c r="E8" s="18"/>
      <c r="F8" s="18"/>
      <c r="G8" s="18"/>
      <c r="H8" s="18"/>
      <c r="I8" s="18"/>
      <c r="J8" s="18"/>
      <c r="K8" s="18"/>
      <c r="L8" s="18"/>
      <c r="M8" s="31"/>
      <c r="N8" s="31" t="s">
        <v>154</v>
      </c>
      <c r="O8" s="31"/>
      <c r="P8" s="31"/>
      <c r="Q8" s="31"/>
      <c r="R8" s="24" t="s">
        <v>90</v>
      </c>
      <c r="S8" s="42">
        <f t="shared" ref="S8:W9" si="0">F67</f>
        <v>0</v>
      </c>
      <c r="T8" s="42">
        <f t="shared" si="0"/>
        <v>0</v>
      </c>
      <c r="U8" s="42">
        <f t="shared" si="0"/>
        <v>2.4099999999999939</v>
      </c>
      <c r="V8" s="42">
        <f t="shared" si="0"/>
        <v>-0.12500000000000569</v>
      </c>
      <c r="W8" s="42">
        <f t="shared" si="0"/>
        <v>0.75499999999999834</v>
      </c>
      <c r="X8" s="31"/>
      <c r="Y8" s="31"/>
      <c r="Z8" s="31"/>
      <c r="AA8" s="31"/>
      <c r="AB8" s="31"/>
    </row>
    <row r="9" spans="1:29" s="6" customFormat="1" ht="12" customHeight="1" x14ac:dyDescent="0.2">
      <c r="A9" s="18"/>
      <c r="B9" s="18"/>
      <c r="C9" s="18"/>
      <c r="D9" s="18"/>
      <c r="E9" s="18"/>
      <c r="F9" s="18"/>
      <c r="G9" s="18"/>
      <c r="H9" s="18"/>
      <c r="I9" s="18"/>
      <c r="J9" s="18"/>
      <c r="K9" s="18"/>
      <c r="L9" s="18"/>
      <c r="M9" s="31"/>
      <c r="N9" s="31" t="s">
        <v>155</v>
      </c>
      <c r="O9" s="31"/>
      <c r="P9" s="31"/>
      <c r="Q9" s="31"/>
      <c r="R9" s="17" t="s">
        <v>91</v>
      </c>
      <c r="S9" s="43">
        <f t="shared" si="0"/>
        <v>0</v>
      </c>
      <c r="T9" s="43">
        <f t="shared" si="0"/>
        <v>0</v>
      </c>
      <c r="U9" s="43">
        <f t="shared" si="0"/>
        <v>7.3246088453133282</v>
      </c>
      <c r="V9" s="43">
        <f t="shared" si="0"/>
        <v>8.6347142091492568</v>
      </c>
      <c r="W9" s="43">
        <f t="shared" si="0"/>
        <v>7.7092203851860708</v>
      </c>
      <c r="X9" s="31"/>
      <c r="Y9" s="31"/>
      <c r="Z9" s="31"/>
      <c r="AA9" s="31"/>
      <c r="AB9" s="31"/>
    </row>
    <row r="10" spans="1:29" s="6" customFormat="1" ht="12" customHeight="1" x14ac:dyDescent="0.2">
      <c r="A10" s="18"/>
      <c r="B10" s="665" t="s">
        <v>199</v>
      </c>
      <c r="C10" s="665"/>
      <c r="D10" s="665"/>
      <c r="E10" s="665"/>
      <c r="F10" s="665"/>
      <c r="G10" s="18"/>
      <c r="H10" s="18"/>
      <c r="I10" s="18"/>
      <c r="J10" s="18"/>
      <c r="K10" s="18"/>
      <c r="L10" s="18"/>
      <c r="M10" s="31"/>
      <c r="N10" s="31" t="s">
        <v>149</v>
      </c>
      <c r="O10" s="31"/>
      <c r="P10" s="31"/>
      <c r="Q10" s="31"/>
      <c r="R10" s="17" t="s">
        <v>92</v>
      </c>
      <c r="S10" s="43">
        <f>F68</f>
        <v>0</v>
      </c>
      <c r="T10" s="43">
        <f>G68</f>
        <v>0</v>
      </c>
      <c r="U10" s="43">
        <f>H68</f>
        <v>7.3246088453133282</v>
      </c>
      <c r="V10" s="43">
        <f>I68</f>
        <v>8.6347142091492568</v>
      </c>
      <c r="W10" s="43">
        <f>J68</f>
        <v>7.7092203851860708</v>
      </c>
      <c r="X10" s="31"/>
      <c r="Y10" s="31"/>
      <c r="Z10" s="31"/>
      <c r="AA10" s="51"/>
      <c r="AB10" s="51"/>
      <c r="AC10" s="7"/>
    </row>
    <row r="11" spans="1:29" s="6" customFormat="1" ht="12" customHeight="1" x14ac:dyDescent="0.2">
      <c r="A11" s="18"/>
      <c r="B11" s="666" t="s">
        <v>210</v>
      </c>
      <c r="C11" s="666"/>
      <c r="D11" s="666"/>
      <c r="E11" s="666"/>
      <c r="F11" s="666"/>
      <c r="G11" s="18"/>
      <c r="H11" s="18"/>
      <c r="I11" s="18"/>
      <c r="J11" s="18"/>
      <c r="K11" s="18"/>
      <c r="L11" s="18"/>
      <c r="M11" s="31"/>
      <c r="N11" s="31" t="s">
        <v>150</v>
      </c>
      <c r="O11" s="31"/>
      <c r="P11" s="31"/>
      <c r="Q11" s="31"/>
      <c r="R11" s="31" t="str">
        <f>B76</f>
        <v>Exptal</v>
      </c>
      <c r="S11" s="31"/>
      <c r="T11" s="31"/>
      <c r="U11" s="31"/>
      <c r="V11" s="31"/>
      <c r="W11" s="31"/>
      <c r="X11" s="31"/>
      <c r="Y11" s="31"/>
      <c r="Z11" s="31"/>
      <c r="AA11" s="51"/>
      <c r="AB11" s="51"/>
      <c r="AC11" s="7"/>
    </row>
    <row r="12" spans="1:29" s="6" customFormat="1" ht="12" customHeight="1" x14ac:dyDescent="0.2">
      <c r="A12" s="18"/>
      <c r="B12" s="667"/>
      <c r="C12" s="667"/>
      <c r="D12" s="667"/>
      <c r="E12" s="667"/>
      <c r="F12" s="667"/>
      <c r="G12" s="18"/>
      <c r="H12" s="18"/>
      <c r="I12" s="18"/>
      <c r="J12" s="18"/>
      <c r="K12" s="18"/>
      <c r="L12" s="18"/>
      <c r="M12" s="31"/>
      <c r="N12" s="31" t="s">
        <v>151</v>
      </c>
      <c r="O12" s="31"/>
      <c r="P12" s="31"/>
      <c r="Q12" s="31"/>
      <c r="R12" s="17" t="s">
        <v>145</v>
      </c>
      <c r="S12" s="40">
        <f>F44+$S$3</f>
        <v>1.06</v>
      </c>
      <c r="T12" s="40">
        <f>G44+$S$3</f>
        <v>2.06</v>
      </c>
      <c r="U12" s="40">
        <f>H44+$S$3</f>
        <v>3.06</v>
      </c>
      <c r="V12" s="40">
        <f>I44+$S$3</f>
        <v>4.0599999999999996</v>
      </c>
      <c r="W12" s="40">
        <f>J44+$S$3</f>
        <v>5.0599999999999996</v>
      </c>
      <c r="X12" s="31"/>
      <c r="Y12" s="31"/>
      <c r="Z12" s="31"/>
      <c r="AA12" s="51"/>
      <c r="AB12" s="51"/>
      <c r="AC12" s="7"/>
    </row>
    <row r="13" spans="1:29" s="6" customFormat="1" ht="12" customHeight="1" x14ac:dyDescent="0.2">
      <c r="A13" s="18"/>
      <c r="B13" s="667"/>
      <c r="C13" s="667"/>
      <c r="D13" s="667"/>
      <c r="E13" s="667"/>
      <c r="F13" s="667"/>
      <c r="G13" s="18"/>
      <c r="H13" s="18"/>
      <c r="I13" s="18"/>
      <c r="J13" s="18"/>
      <c r="K13" s="18"/>
      <c r="L13" s="18"/>
      <c r="M13" s="31"/>
      <c r="N13" s="31" t="s">
        <v>152</v>
      </c>
      <c r="O13" s="31"/>
      <c r="P13" s="31"/>
      <c r="Q13" s="31"/>
      <c r="R13" s="24" t="s">
        <v>90</v>
      </c>
      <c r="S13" s="44">
        <f t="shared" ref="S13:W14" si="1">F96</f>
        <v>0</v>
      </c>
      <c r="T13" s="44">
        <f t="shared" si="1"/>
        <v>0</v>
      </c>
      <c r="U13" s="44">
        <f t="shared" si="1"/>
        <v>9.7899999999999974</v>
      </c>
      <c r="V13" s="44">
        <f t="shared" si="1"/>
        <v>4.1550000000000038</v>
      </c>
      <c r="W13" s="44">
        <f t="shared" si="1"/>
        <v>4.795000000000007</v>
      </c>
      <c r="X13" s="31"/>
      <c r="Y13" s="31"/>
      <c r="Z13" s="31"/>
      <c r="AA13" s="31"/>
      <c r="AB13" s="31"/>
    </row>
    <row r="14" spans="1:29" s="6" customFormat="1" ht="12" customHeight="1" x14ac:dyDescent="0.2">
      <c r="A14" s="18"/>
      <c r="B14" s="667"/>
      <c r="C14" s="667"/>
      <c r="D14" s="667"/>
      <c r="E14" s="667"/>
      <c r="F14" s="667"/>
      <c r="G14" s="18"/>
      <c r="H14" s="18"/>
      <c r="I14" s="18"/>
      <c r="J14" s="18"/>
      <c r="K14" s="18"/>
      <c r="L14" s="18"/>
      <c r="M14" s="31"/>
      <c r="N14" s="31"/>
      <c r="O14" s="31"/>
      <c r="P14" s="18"/>
      <c r="Q14" s="18"/>
      <c r="R14" s="17" t="s">
        <v>91</v>
      </c>
      <c r="S14" s="44">
        <f t="shared" si="1"/>
        <v>0</v>
      </c>
      <c r="T14" s="44">
        <f t="shared" si="1"/>
        <v>0</v>
      </c>
      <c r="U14" s="44">
        <f t="shared" si="1"/>
        <v>12.114178296090648</v>
      </c>
      <c r="V14" s="44">
        <f t="shared" si="1"/>
        <v>11.423140180307138</v>
      </c>
      <c r="W14" s="44">
        <f t="shared" si="1"/>
        <v>12.868002953061522</v>
      </c>
      <c r="X14" s="31"/>
      <c r="Y14" s="31"/>
      <c r="Z14" s="31"/>
      <c r="AA14" s="31"/>
      <c r="AB14" s="31"/>
    </row>
    <row r="15" spans="1:29" s="6" customFormat="1" ht="12" customHeight="1" x14ac:dyDescent="0.2">
      <c r="A15" s="18"/>
      <c r="B15" s="667"/>
      <c r="C15" s="667"/>
      <c r="D15" s="667"/>
      <c r="E15" s="667"/>
      <c r="F15" s="667"/>
      <c r="G15" s="18"/>
      <c r="H15" s="18"/>
      <c r="I15" s="18"/>
      <c r="J15" s="18"/>
      <c r="K15" s="18"/>
      <c r="L15" s="18"/>
      <c r="M15" s="31"/>
      <c r="N15" s="31"/>
      <c r="O15" s="31"/>
      <c r="P15" s="31"/>
      <c r="Q15" s="31"/>
      <c r="R15" s="17" t="s">
        <v>92</v>
      </c>
      <c r="S15" s="44">
        <f>F97</f>
        <v>0</v>
      </c>
      <c r="T15" s="44">
        <f>G97</f>
        <v>0</v>
      </c>
      <c r="U15" s="44">
        <f>H97</f>
        <v>12.114178296090648</v>
      </c>
      <c r="V15" s="44">
        <f>I97</f>
        <v>11.423140180307138</v>
      </c>
      <c r="W15" s="44">
        <f>J97</f>
        <v>12.868002953061522</v>
      </c>
      <c r="X15" s="31"/>
      <c r="Y15" s="31"/>
      <c r="Z15" s="31"/>
      <c r="AA15" s="31"/>
      <c r="AB15" s="31"/>
    </row>
    <row r="16" spans="1:29" s="6" customFormat="1" ht="12" customHeight="1" x14ac:dyDescent="0.2">
      <c r="A16" s="18"/>
      <c r="B16" s="667"/>
      <c r="C16" s="667"/>
      <c r="D16" s="667"/>
      <c r="E16" s="667"/>
      <c r="F16" s="667"/>
      <c r="G16" s="18"/>
      <c r="H16" s="18"/>
      <c r="I16" s="18"/>
      <c r="J16" s="18"/>
      <c r="K16" s="18"/>
      <c r="L16" s="18"/>
      <c r="M16" s="31"/>
      <c r="N16" s="31"/>
      <c r="O16" s="31"/>
      <c r="P16" s="31"/>
      <c r="Q16" s="31"/>
      <c r="R16" s="31"/>
      <c r="S16" s="31"/>
      <c r="T16" s="31"/>
      <c r="U16" s="31"/>
      <c r="V16" s="31"/>
      <c r="W16" s="31"/>
      <c r="X16" s="31"/>
      <c r="Y16" s="31"/>
      <c r="Z16" s="31"/>
      <c r="AA16" s="31"/>
      <c r="AB16" s="31"/>
    </row>
    <row r="17" spans="1:29" s="6" customFormat="1" ht="12" customHeight="1" x14ac:dyDescent="0.2">
      <c r="A17" s="18"/>
      <c r="B17" s="667"/>
      <c r="C17" s="667"/>
      <c r="D17" s="667"/>
      <c r="E17" s="667"/>
      <c r="F17" s="667"/>
      <c r="G17" s="18"/>
      <c r="H17" s="18"/>
      <c r="I17" s="18"/>
      <c r="J17" s="18"/>
      <c r="K17" s="18"/>
      <c r="L17" s="18"/>
      <c r="M17" s="31"/>
      <c r="N17" s="31"/>
      <c r="O17" s="31"/>
      <c r="P17" s="31"/>
      <c r="Q17" s="31"/>
      <c r="R17" s="31"/>
      <c r="S17" s="31"/>
      <c r="T17" s="31"/>
      <c r="U17" s="31"/>
      <c r="V17" s="31"/>
      <c r="W17" s="31"/>
      <c r="X17" s="31"/>
      <c r="Y17" s="31"/>
      <c r="Z17" s="31"/>
      <c r="AA17" s="31"/>
      <c r="AB17" s="31"/>
    </row>
    <row r="18" spans="1:29" s="6" customFormat="1" ht="12" customHeight="1" x14ac:dyDescent="0.2">
      <c r="A18" s="18"/>
      <c r="B18" s="667"/>
      <c r="C18" s="667"/>
      <c r="D18" s="667"/>
      <c r="E18" s="667"/>
      <c r="F18" s="667"/>
      <c r="G18" s="18"/>
      <c r="H18" s="18"/>
      <c r="I18" s="18"/>
      <c r="J18" s="18"/>
      <c r="K18" s="18"/>
      <c r="L18" s="18"/>
      <c r="M18" s="31"/>
      <c r="N18" s="31"/>
      <c r="O18" s="31"/>
      <c r="P18" s="31"/>
      <c r="Q18" s="38" t="s">
        <v>195</v>
      </c>
      <c r="R18" s="115"/>
      <c r="S18" s="31"/>
      <c r="T18" s="31"/>
      <c r="U18" s="31"/>
      <c r="V18" s="31"/>
      <c r="W18" s="31"/>
      <c r="X18" s="31"/>
      <c r="Y18" s="31"/>
      <c r="Z18" s="31"/>
      <c r="AA18" s="31"/>
      <c r="AB18" s="31"/>
    </row>
    <row r="19" spans="1:29" ht="12" customHeight="1" x14ac:dyDescent="0.2">
      <c r="A19" s="18"/>
      <c r="B19" s="667"/>
      <c r="C19" s="667"/>
      <c r="D19" s="667"/>
      <c r="E19" s="667"/>
      <c r="F19" s="667"/>
      <c r="G19" s="18"/>
      <c r="H19" s="18"/>
      <c r="I19" s="18"/>
      <c r="J19" s="18"/>
      <c r="K19" s="18"/>
      <c r="L19" s="18"/>
      <c r="M19" s="18"/>
      <c r="N19" s="18"/>
      <c r="O19" s="18"/>
      <c r="P19" s="31"/>
      <c r="Q19" s="31"/>
      <c r="R19" s="17" t="s">
        <v>89</v>
      </c>
      <c r="S19" s="39" t="str">
        <f t="shared" ref="S19:W19" si="2">S46</f>
        <v>Pre1</v>
      </c>
      <c r="T19" s="39" t="str">
        <f t="shared" si="2"/>
        <v>Pre2</v>
      </c>
      <c r="U19" s="39" t="str">
        <f t="shared" si="2"/>
        <v>Post1</v>
      </c>
      <c r="V19" s="39" t="str">
        <f t="shared" si="2"/>
        <v>Post2</v>
      </c>
      <c r="W19" s="39" t="str">
        <f t="shared" si="2"/>
        <v>Post3</v>
      </c>
      <c r="X19" s="18"/>
      <c r="Y19" s="18"/>
      <c r="Z19" s="18"/>
      <c r="AA19" s="18"/>
      <c r="AB19" s="18"/>
    </row>
    <row r="20" spans="1:29" s="6" customFormat="1" ht="12" customHeight="1" x14ac:dyDescent="0.2">
      <c r="A20" s="18"/>
      <c r="B20" s="667"/>
      <c r="C20" s="667"/>
      <c r="D20" s="667"/>
      <c r="E20" s="667"/>
      <c r="F20" s="667"/>
      <c r="G20" s="18"/>
      <c r="H20" s="18"/>
      <c r="I20" s="18"/>
      <c r="J20" s="18"/>
      <c r="K20" s="18"/>
      <c r="L20" s="18"/>
      <c r="M20" s="31"/>
      <c r="N20" s="31"/>
      <c r="O20" s="31"/>
      <c r="P20" s="18"/>
      <c r="Q20" s="18"/>
      <c r="R20" s="31" t="str">
        <f>O47</f>
        <v>Control</v>
      </c>
      <c r="S20" s="31"/>
      <c r="T20" s="31"/>
      <c r="U20" s="31"/>
      <c r="V20" s="31"/>
      <c r="W20" s="31"/>
      <c r="X20" s="31"/>
      <c r="Y20" s="31"/>
      <c r="Z20" s="31"/>
      <c r="AA20" s="31"/>
      <c r="AB20" s="31"/>
    </row>
    <row r="21" spans="1:29" s="6" customFormat="1" ht="12" customHeight="1" x14ac:dyDescent="0.2">
      <c r="A21" s="18"/>
      <c r="B21" s="667"/>
      <c r="C21" s="667"/>
      <c r="D21" s="667"/>
      <c r="E21" s="667"/>
      <c r="F21" s="667"/>
      <c r="G21" s="18"/>
      <c r="H21" s="18"/>
      <c r="I21" s="18"/>
      <c r="J21" s="18"/>
      <c r="K21" s="18"/>
      <c r="L21" s="18"/>
      <c r="M21" s="31"/>
      <c r="N21" s="31"/>
      <c r="O21" s="31"/>
      <c r="P21" s="18"/>
      <c r="Q21" s="18"/>
      <c r="R21" s="17" t="s">
        <v>145</v>
      </c>
      <c r="S21" s="289">
        <f t="shared" ref="S21:W21" si="3">S44-$S$3</f>
        <v>0.94</v>
      </c>
      <c r="T21" s="289">
        <f t="shared" si="3"/>
        <v>1.94</v>
      </c>
      <c r="U21" s="289">
        <f t="shared" si="3"/>
        <v>2.94</v>
      </c>
      <c r="V21" s="289">
        <f t="shared" si="3"/>
        <v>3.94</v>
      </c>
      <c r="W21" s="289">
        <f t="shared" si="3"/>
        <v>4.9400000000000004</v>
      </c>
      <c r="X21" s="31"/>
      <c r="Y21" s="31"/>
      <c r="Z21" s="31"/>
      <c r="AA21" s="31"/>
      <c r="AB21" s="31"/>
    </row>
    <row r="22" spans="1:29" s="6" customFormat="1" ht="12" customHeight="1" x14ac:dyDescent="0.2">
      <c r="A22" s="18"/>
      <c r="B22" s="667"/>
      <c r="C22" s="667"/>
      <c r="D22" s="667"/>
      <c r="E22" s="667"/>
      <c r="F22" s="667"/>
      <c r="G22" s="18"/>
      <c r="H22" s="18"/>
      <c r="I22" s="18"/>
      <c r="J22" s="18"/>
      <c r="K22" s="18"/>
      <c r="L22" s="18"/>
      <c r="M22" s="31"/>
      <c r="N22" s="31"/>
      <c r="O22" s="31"/>
      <c r="P22" s="18"/>
      <c r="Q22" s="18"/>
      <c r="R22" s="24" t="s">
        <v>90</v>
      </c>
      <c r="S22" s="16">
        <f t="shared" ref="S22:W22" si="4">S72</f>
        <v>1</v>
      </c>
      <c r="T22" s="16">
        <f t="shared" si="4"/>
        <v>1</v>
      </c>
      <c r="U22" s="16">
        <f t="shared" si="4"/>
        <v>1.0059823036389151</v>
      </c>
      <c r="V22" s="16">
        <f t="shared" si="4"/>
        <v>0.99977025738037695</v>
      </c>
      <c r="W22" s="16">
        <f t="shared" si="4"/>
        <v>1.001819724433181</v>
      </c>
      <c r="X22" s="31"/>
      <c r="Y22" s="31"/>
      <c r="Z22" s="31"/>
      <c r="AA22" s="31"/>
      <c r="AB22" s="31"/>
    </row>
    <row r="23" spans="1:29" s="6" customFormat="1" ht="12" customHeight="1" x14ac:dyDescent="0.2">
      <c r="A23" s="18"/>
      <c r="B23" s="667"/>
      <c r="C23" s="667"/>
      <c r="D23" s="667"/>
      <c r="E23" s="667"/>
      <c r="F23" s="667"/>
      <c r="G23" s="18"/>
      <c r="H23" s="18"/>
      <c r="I23" s="18"/>
      <c r="J23" s="18"/>
      <c r="K23" s="18"/>
      <c r="L23" s="18"/>
      <c r="M23" s="31"/>
      <c r="N23" s="31"/>
      <c r="O23" s="31"/>
      <c r="P23" s="18"/>
      <c r="Q23" s="18"/>
      <c r="R23" s="17" t="s">
        <v>91</v>
      </c>
      <c r="S23" s="313">
        <f t="shared" ref="S23:W23" si="5">S22*S73-S22</f>
        <v>0</v>
      </c>
      <c r="T23" s="313">
        <f t="shared" si="5"/>
        <v>0</v>
      </c>
      <c r="U23" s="313">
        <f t="shared" si="5"/>
        <v>1.8552651785874508E-2</v>
      </c>
      <c r="V23" s="313">
        <f t="shared" si="5"/>
        <v>2.1647256568401052E-2</v>
      </c>
      <c r="W23" s="313">
        <f t="shared" si="5"/>
        <v>1.946193697923726E-2</v>
      </c>
      <c r="X23" s="31"/>
      <c r="Y23" s="31"/>
      <c r="Z23" s="31"/>
      <c r="AA23" s="31"/>
      <c r="AB23" s="31"/>
    </row>
    <row r="24" spans="1:29" s="6" customFormat="1" ht="12" customHeight="1" x14ac:dyDescent="0.2">
      <c r="A24" s="18"/>
      <c r="B24" s="667"/>
      <c r="C24" s="667"/>
      <c r="D24" s="667"/>
      <c r="E24" s="667"/>
      <c r="F24" s="667"/>
      <c r="G24" s="18"/>
      <c r="H24" s="18"/>
      <c r="I24" s="18"/>
      <c r="J24" s="18"/>
      <c r="K24" s="18"/>
      <c r="L24" s="18"/>
      <c r="M24" s="31"/>
      <c r="N24" s="31"/>
      <c r="O24" s="31"/>
      <c r="P24" s="18"/>
      <c r="Q24" s="18"/>
      <c r="R24" s="17" t="s">
        <v>92</v>
      </c>
      <c r="S24" s="57">
        <f t="shared" ref="S24:W24" si="6">S22-S22/S73</f>
        <v>0</v>
      </c>
      <c r="T24" s="57">
        <f t="shared" si="6"/>
        <v>0</v>
      </c>
      <c r="U24" s="57">
        <f t="shared" si="6"/>
        <v>1.8216693616301738E-2</v>
      </c>
      <c r="V24" s="57">
        <f t="shared" si="6"/>
        <v>2.118847873216978E-2</v>
      </c>
      <c r="W24" s="57">
        <f t="shared" si="6"/>
        <v>1.9091062806817494E-2</v>
      </c>
      <c r="X24" s="31"/>
      <c r="Y24" s="31"/>
      <c r="Z24" s="31"/>
      <c r="AA24" s="31"/>
      <c r="AB24" s="31"/>
    </row>
    <row r="25" spans="1:29" ht="12.95" customHeight="1" x14ac:dyDescent="0.2">
      <c r="A25" s="18"/>
      <c r="B25" s="667"/>
      <c r="C25" s="667"/>
      <c r="D25" s="667"/>
      <c r="E25" s="667"/>
      <c r="F25" s="667"/>
      <c r="G25" s="18"/>
      <c r="H25" s="18"/>
      <c r="I25" s="18"/>
      <c r="J25" s="18"/>
      <c r="K25" s="18"/>
      <c r="L25" s="18"/>
      <c r="M25" s="18"/>
      <c r="N25" s="18"/>
      <c r="O25" s="18"/>
      <c r="P25" s="18"/>
      <c r="Q25" s="18"/>
      <c r="R25" s="24" t="str">
        <f>O76</f>
        <v>Exptal</v>
      </c>
      <c r="S25" s="57"/>
      <c r="T25" s="57"/>
      <c r="U25" s="57"/>
      <c r="V25" s="57"/>
      <c r="W25" s="57"/>
      <c r="X25" s="18"/>
      <c r="Y25" s="18"/>
      <c r="Z25" s="18"/>
      <c r="AA25" s="18"/>
      <c r="AB25" s="18"/>
    </row>
    <row r="26" spans="1:29" ht="12.95" customHeight="1" x14ac:dyDescent="0.2">
      <c r="A26" s="18"/>
      <c r="B26" s="667"/>
      <c r="C26" s="667"/>
      <c r="D26" s="667"/>
      <c r="E26" s="667"/>
      <c r="F26" s="667"/>
      <c r="G26" s="18"/>
      <c r="H26" s="18"/>
      <c r="I26" s="18"/>
      <c r="J26" s="18"/>
      <c r="K26" s="18"/>
      <c r="L26" s="18"/>
      <c r="M26" s="18"/>
      <c r="N26" s="18"/>
      <c r="O26" s="18"/>
      <c r="P26" s="18"/>
      <c r="Q26" s="18"/>
      <c r="R26" s="17" t="s">
        <v>145</v>
      </c>
      <c r="S26" s="290">
        <f t="shared" ref="S26:W26" si="7">S44+$S$3</f>
        <v>1.06</v>
      </c>
      <c r="T26" s="290">
        <f t="shared" si="7"/>
        <v>2.06</v>
      </c>
      <c r="U26" s="290">
        <f t="shared" si="7"/>
        <v>3.06</v>
      </c>
      <c r="V26" s="290">
        <f t="shared" si="7"/>
        <v>4.0599999999999996</v>
      </c>
      <c r="W26" s="290">
        <f t="shared" si="7"/>
        <v>5.0599999999999996</v>
      </c>
      <c r="X26" s="18"/>
      <c r="Y26" s="18"/>
      <c r="Z26" s="18"/>
      <c r="AA26" s="18"/>
      <c r="AB26" s="18"/>
    </row>
    <row r="27" spans="1:29" ht="12.95" customHeight="1" x14ac:dyDescent="0.2">
      <c r="A27" s="18"/>
      <c r="B27" s="667"/>
      <c r="C27" s="667"/>
      <c r="D27" s="667"/>
      <c r="E27" s="667"/>
      <c r="F27" s="667"/>
      <c r="G27" s="18"/>
      <c r="H27" s="18"/>
      <c r="I27" s="18"/>
      <c r="J27" s="18"/>
      <c r="K27" s="18"/>
      <c r="L27" s="18"/>
      <c r="M27" s="18"/>
      <c r="N27" s="18"/>
      <c r="O27" s="18"/>
      <c r="P27" s="18"/>
      <c r="Q27" s="18"/>
      <c r="R27" s="17" t="s">
        <v>90</v>
      </c>
      <c r="S27" s="313">
        <f t="shared" ref="S27:W27" si="8">S101</f>
        <v>1</v>
      </c>
      <c r="T27" s="313">
        <f t="shared" si="8"/>
        <v>1</v>
      </c>
      <c r="U27" s="313">
        <f t="shared" si="8"/>
        <v>1.0243999385988234</v>
      </c>
      <c r="V27" s="313">
        <f t="shared" si="8"/>
        <v>1.0104005676790055</v>
      </c>
      <c r="W27" s="313">
        <f t="shared" si="8"/>
        <v>1.0120849157610985</v>
      </c>
      <c r="X27" s="18"/>
      <c r="Y27" s="18"/>
      <c r="Z27" s="18"/>
      <c r="AA27" s="18"/>
      <c r="AB27" s="18"/>
    </row>
    <row r="28" spans="1:29" ht="12.95" customHeight="1" x14ac:dyDescent="0.2">
      <c r="A28" s="18"/>
      <c r="B28" s="667"/>
      <c r="C28" s="667"/>
      <c r="D28" s="667"/>
      <c r="E28" s="667"/>
      <c r="F28" s="667"/>
      <c r="G28" s="18"/>
      <c r="H28" s="18"/>
      <c r="I28" s="18"/>
      <c r="J28" s="18"/>
      <c r="K28" s="18"/>
      <c r="L28" s="18"/>
      <c r="M28" s="18"/>
      <c r="N28" s="18"/>
      <c r="O28" s="18"/>
      <c r="P28" s="18"/>
      <c r="Q28" s="18"/>
      <c r="R28" s="24" t="s">
        <v>91</v>
      </c>
      <c r="S28" s="16">
        <f t="shared" ref="S28:W28" si="9">S27*S102-S27</f>
        <v>0</v>
      </c>
      <c r="T28" s="16">
        <f t="shared" si="9"/>
        <v>0</v>
      </c>
      <c r="U28" s="16">
        <f t="shared" si="9"/>
        <v>3.1169695668334274E-2</v>
      </c>
      <c r="V28" s="16">
        <f t="shared" si="9"/>
        <v>2.8868938712426351E-2</v>
      </c>
      <c r="W28" s="16">
        <f t="shared" si="9"/>
        <v>3.2925033013247562E-2</v>
      </c>
      <c r="X28" s="18"/>
      <c r="Y28" s="18"/>
      <c r="Z28" s="18"/>
      <c r="AA28" s="18"/>
      <c r="AB28" s="18"/>
    </row>
    <row r="29" spans="1:29" ht="12.95" customHeight="1" x14ac:dyDescent="0.2">
      <c r="A29" s="18"/>
      <c r="B29" s="667"/>
      <c r="C29" s="667"/>
      <c r="D29" s="667"/>
      <c r="E29" s="667"/>
      <c r="F29" s="667"/>
      <c r="G29" s="18"/>
      <c r="H29" s="18"/>
      <c r="I29" s="18"/>
      <c r="J29" s="18"/>
      <c r="K29" s="18"/>
      <c r="L29" s="18"/>
      <c r="M29" s="18"/>
      <c r="N29" s="18"/>
      <c r="O29" s="18"/>
      <c r="P29" s="18"/>
      <c r="Q29" s="18"/>
      <c r="R29" s="24" t="s">
        <v>92</v>
      </c>
      <c r="S29" s="16">
        <f t="shared" ref="S29:W29" si="10">S27-S27/S102</f>
        <v>0</v>
      </c>
      <c r="T29" s="16">
        <f t="shared" si="10"/>
        <v>0</v>
      </c>
      <c r="U29" s="16">
        <f t="shared" si="10"/>
        <v>3.0249292223107349E-2</v>
      </c>
      <c r="V29" s="16">
        <f t="shared" si="10"/>
        <v>2.8067014267172952E-2</v>
      </c>
      <c r="W29" s="16">
        <f t="shared" si="10"/>
        <v>3.1887667005206288E-2</v>
      </c>
      <c r="X29" s="18"/>
      <c r="Y29" s="18"/>
      <c r="Z29" s="18"/>
      <c r="AA29" s="51"/>
      <c r="AB29" s="34"/>
      <c r="AC29" s="2"/>
    </row>
    <row r="30" spans="1:29" ht="12.95" customHeight="1" x14ac:dyDescent="0.2">
      <c r="A30" s="18"/>
      <c r="B30" s="667"/>
      <c r="C30" s="667"/>
      <c r="D30" s="667"/>
      <c r="E30" s="667"/>
      <c r="F30" s="667"/>
      <c r="G30" s="18"/>
      <c r="H30" s="18"/>
      <c r="I30" s="18"/>
      <c r="J30" s="18"/>
      <c r="K30" s="18"/>
      <c r="L30" s="18"/>
      <c r="M30" s="18"/>
      <c r="N30" s="18"/>
      <c r="O30" s="18"/>
      <c r="P30" s="18"/>
      <c r="Q30" s="38" t="s">
        <v>196</v>
      </c>
      <c r="R30" s="18"/>
      <c r="S30" s="18"/>
      <c r="T30" s="18"/>
      <c r="U30" s="18"/>
      <c r="V30" s="18"/>
      <c r="W30" s="18"/>
      <c r="X30" s="18"/>
      <c r="Y30" s="18"/>
      <c r="Z30" s="18"/>
      <c r="AA30" s="51"/>
      <c r="AB30" s="34"/>
      <c r="AC30" s="2"/>
    </row>
    <row r="31" spans="1:29" ht="12.95" customHeight="1" x14ac:dyDescent="0.2">
      <c r="A31" s="18"/>
      <c r="B31" s="667"/>
      <c r="C31" s="667"/>
      <c r="D31" s="667"/>
      <c r="E31" s="667"/>
      <c r="F31" s="667"/>
      <c r="G31" s="18"/>
      <c r="H31" s="18"/>
      <c r="I31" s="18"/>
      <c r="J31" s="18"/>
      <c r="K31" s="18"/>
      <c r="L31" s="18"/>
      <c r="M31" s="18"/>
      <c r="N31" s="18"/>
      <c r="O31" s="18"/>
      <c r="P31" s="18"/>
      <c r="Q31" s="18"/>
      <c r="R31" s="17" t="s">
        <v>89</v>
      </c>
      <c r="S31" s="24" t="str">
        <f>S46</f>
        <v>Pre1</v>
      </c>
      <c r="T31" s="24" t="str">
        <f t="shared" ref="T31:V31" si="11">T46</f>
        <v>Pre2</v>
      </c>
      <c r="U31" s="24" t="str">
        <f t="shared" si="11"/>
        <v>Post1</v>
      </c>
      <c r="V31" s="24" t="str">
        <f t="shared" si="11"/>
        <v>Post2</v>
      </c>
      <c r="W31" s="24" t="str">
        <f t="shared" ref="W31" si="12">W46</f>
        <v>Post3</v>
      </c>
      <c r="X31" s="18"/>
      <c r="Y31" s="18"/>
      <c r="Z31" s="18"/>
      <c r="AA31" s="51"/>
      <c r="AB31" s="34"/>
      <c r="AC31" s="2"/>
    </row>
    <row r="32" spans="1:29" s="1" customFormat="1" ht="12.95" customHeight="1" x14ac:dyDescent="0.2">
      <c r="A32" s="18"/>
      <c r="B32" s="667"/>
      <c r="C32" s="667"/>
      <c r="D32" s="667"/>
      <c r="E32" s="667"/>
      <c r="F32" s="667"/>
      <c r="G32" s="18"/>
      <c r="H32" s="18"/>
      <c r="I32" s="18"/>
      <c r="J32" s="18"/>
      <c r="K32" s="18"/>
      <c r="L32" s="18"/>
      <c r="M32" s="18"/>
      <c r="N32" s="18"/>
      <c r="O32" s="18"/>
      <c r="P32" s="18"/>
      <c r="Q32" s="18"/>
      <c r="R32" s="115" t="str">
        <f>O47</f>
        <v>Control</v>
      </c>
      <c r="S32" s="24"/>
      <c r="T32" s="24"/>
      <c r="U32" s="24"/>
      <c r="V32" s="24"/>
      <c r="W32" s="24"/>
      <c r="X32" s="18"/>
      <c r="Y32" s="19"/>
      <c r="Z32" s="18"/>
      <c r="AA32" s="51"/>
      <c r="AB32" s="34"/>
      <c r="AC32" s="12"/>
    </row>
    <row r="33" spans="1:29" s="1" customFormat="1" ht="12.95" customHeight="1" x14ac:dyDescent="0.2">
      <c r="A33" s="18"/>
      <c r="B33" s="667"/>
      <c r="C33" s="667"/>
      <c r="D33" s="667"/>
      <c r="E33" s="667"/>
      <c r="F33" s="667"/>
      <c r="G33" s="18"/>
      <c r="H33" s="18"/>
      <c r="I33" s="18"/>
      <c r="J33" s="18"/>
      <c r="K33" s="18"/>
      <c r="L33" s="18"/>
      <c r="M33" s="18"/>
      <c r="N33" s="18"/>
      <c r="O33" s="18"/>
      <c r="P33" s="18"/>
      <c r="Q33" s="18"/>
      <c r="R33" s="115" t="s">
        <v>145</v>
      </c>
      <c r="S33" s="57">
        <f>S44-$S$3</f>
        <v>0.94</v>
      </c>
      <c r="T33" s="57">
        <f t="shared" ref="T33:V33" si="13">T44-$S$3</f>
        <v>1.94</v>
      </c>
      <c r="U33" s="57">
        <f t="shared" si="13"/>
        <v>2.94</v>
      </c>
      <c r="V33" s="57">
        <f t="shared" si="13"/>
        <v>3.94</v>
      </c>
      <c r="W33" s="57">
        <f t="shared" ref="W33" si="14">W44-$S$3</f>
        <v>4.9400000000000004</v>
      </c>
      <c r="X33" s="18"/>
      <c r="Y33" s="19"/>
      <c r="Z33" s="18"/>
      <c r="AA33" s="51"/>
      <c r="AB33" s="34"/>
      <c r="AC33" s="12"/>
    </row>
    <row r="34" spans="1:29" s="1" customFormat="1" ht="12.95" customHeight="1" x14ac:dyDescent="0.2">
      <c r="A34" s="18"/>
      <c r="B34" s="667"/>
      <c r="C34" s="667"/>
      <c r="D34" s="667"/>
      <c r="E34" s="667"/>
      <c r="F34" s="667"/>
      <c r="G34" s="18"/>
      <c r="H34" s="18"/>
      <c r="I34" s="18"/>
      <c r="J34" s="18"/>
      <c r="K34" s="18"/>
      <c r="L34" s="18"/>
      <c r="M34" s="18"/>
      <c r="N34" s="18"/>
      <c r="O34" s="18"/>
      <c r="P34" s="18"/>
      <c r="Q34" s="18"/>
      <c r="R34" s="24" t="s">
        <v>90</v>
      </c>
      <c r="S34" s="57">
        <f>S70</f>
        <v>0</v>
      </c>
      <c r="T34" s="57">
        <f t="shared" ref="T34:V34" si="15">T70</f>
        <v>0</v>
      </c>
      <c r="U34" s="57">
        <f t="shared" si="15"/>
        <v>0.59823036389150275</v>
      </c>
      <c r="V34" s="57">
        <f t="shared" si="15"/>
        <v>-2.2974261962303899E-2</v>
      </c>
      <c r="W34" s="57">
        <f t="shared" ref="W34" si="16">W70</f>
        <v>0.18197244331810225</v>
      </c>
      <c r="X34" s="18"/>
      <c r="Y34" s="19"/>
      <c r="Z34" s="18"/>
      <c r="AA34" s="51"/>
      <c r="AB34" s="34"/>
      <c r="AC34" s="12"/>
    </row>
    <row r="35" spans="1:29" s="1" customFormat="1" ht="12.95" customHeight="1" x14ac:dyDescent="0.2">
      <c r="A35" s="18"/>
      <c r="B35" s="667"/>
      <c r="C35" s="667"/>
      <c r="D35" s="667"/>
      <c r="E35" s="667"/>
      <c r="F35" s="667"/>
      <c r="G35" s="18"/>
      <c r="H35" s="18"/>
      <c r="I35" s="18"/>
      <c r="J35" s="18"/>
      <c r="K35" s="18"/>
      <c r="L35" s="18"/>
      <c r="M35" s="18"/>
      <c r="N35" s="18"/>
      <c r="O35" s="18"/>
      <c r="P35" s="18"/>
      <c r="Q35" s="18"/>
      <c r="R35" s="115" t="s">
        <v>91</v>
      </c>
      <c r="S35" s="291">
        <f>100*EXP((S67+S68)/100)-100-S34</f>
        <v>0</v>
      </c>
      <c r="T35" s="291">
        <f t="shared" ref="T35:V35" si="17">100*EXP((T67+T68)/100)-100-T34</f>
        <v>0</v>
      </c>
      <c r="U35" s="291">
        <f t="shared" si="17"/>
        <v>1.8552651785874588</v>
      </c>
      <c r="V35" s="291">
        <f t="shared" si="17"/>
        <v>2.164725656840119</v>
      </c>
      <c r="W35" s="291">
        <f t="shared" ref="W35" si="18">100*EXP((W67+W68)/100)-100-W34</f>
        <v>1.946193697923718</v>
      </c>
      <c r="X35" s="18"/>
      <c r="Y35" s="19"/>
      <c r="Z35" s="18"/>
      <c r="AA35" s="18"/>
      <c r="AB35" s="18"/>
    </row>
    <row r="36" spans="1:29" s="1" customFormat="1" ht="13.9" customHeight="1" x14ac:dyDescent="0.2">
      <c r="A36" s="18"/>
      <c r="B36" s="667"/>
      <c r="C36" s="667"/>
      <c r="D36" s="667"/>
      <c r="E36" s="667"/>
      <c r="F36" s="667"/>
      <c r="G36" s="18"/>
      <c r="H36" s="18"/>
      <c r="I36" s="18"/>
      <c r="J36" s="18"/>
      <c r="K36" s="18"/>
      <c r="L36" s="18"/>
      <c r="M36" s="18"/>
      <c r="N36" s="18"/>
      <c r="O36" s="18"/>
      <c r="P36" s="18"/>
      <c r="Q36" s="18"/>
      <c r="R36" s="115" t="s">
        <v>92</v>
      </c>
      <c r="S36" s="291">
        <f>S34-(100*EXP((S67-S68)/100)-100)</f>
        <v>0</v>
      </c>
      <c r="T36" s="291">
        <f t="shared" ref="T36:V36" si="19">T34-(100*EXP((T67-T68)/100)-100)</f>
        <v>0</v>
      </c>
      <c r="U36" s="291">
        <f t="shared" si="19"/>
        <v>1.8216693616301711</v>
      </c>
      <c r="V36" s="291">
        <f t="shared" si="19"/>
        <v>2.1188478732169926</v>
      </c>
      <c r="W36" s="291">
        <f t="shared" ref="W36" si="20">W34-(100*EXP((W67-W68)/100)-100)</f>
        <v>1.9091062806817405</v>
      </c>
      <c r="X36" s="18"/>
      <c r="Y36" s="19"/>
      <c r="Z36" s="18"/>
      <c r="AA36" s="51"/>
      <c r="AB36" s="34"/>
      <c r="AC36" s="12"/>
    </row>
    <row r="37" spans="1:29" s="1" customFormat="1" ht="13.9" customHeight="1" x14ac:dyDescent="0.2">
      <c r="A37" s="18"/>
      <c r="B37" s="667"/>
      <c r="C37" s="667"/>
      <c r="D37" s="667"/>
      <c r="E37" s="667"/>
      <c r="F37" s="667"/>
      <c r="G37" s="18"/>
      <c r="H37" s="18"/>
      <c r="I37" s="18"/>
      <c r="J37" s="18"/>
      <c r="K37" s="18"/>
      <c r="L37" s="18"/>
      <c r="M37" s="18"/>
      <c r="N37" s="18"/>
      <c r="O37" s="18"/>
      <c r="P37" s="18"/>
      <c r="Q37" s="18"/>
      <c r="R37" s="115" t="str">
        <f>O76</f>
        <v>Exptal</v>
      </c>
      <c r="S37" s="24"/>
      <c r="T37" s="24"/>
      <c r="U37" s="24"/>
      <c r="V37" s="24"/>
      <c r="W37" s="24"/>
      <c r="X37" s="18"/>
      <c r="Y37" s="18"/>
      <c r="Z37" s="18"/>
      <c r="AA37" s="51"/>
      <c r="AB37" s="34"/>
      <c r="AC37" s="12"/>
    </row>
    <row r="38" spans="1:29" s="1" customFormat="1" ht="13.9" customHeight="1" x14ac:dyDescent="0.2">
      <c r="A38" s="18"/>
      <c r="B38" s="667"/>
      <c r="C38" s="667"/>
      <c r="D38" s="667"/>
      <c r="E38" s="667"/>
      <c r="F38" s="667"/>
      <c r="G38" s="18"/>
      <c r="H38" s="18"/>
      <c r="I38" s="18"/>
      <c r="J38" s="18"/>
      <c r="K38" s="18"/>
      <c r="L38" s="18"/>
      <c r="M38" s="18"/>
      <c r="N38" s="18"/>
      <c r="O38" s="18"/>
      <c r="P38" s="18"/>
      <c r="Q38" s="18"/>
      <c r="R38" s="115" t="s">
        <v>145</v>
      </c>
      <c r="S38" s="57">
        <f>S44+$S$3</f>
        <v>1.06</v>
      </c>
      <c r="T38" s="57">
        <f t="shared" ref="T38:V38" si="21">T44+$S$3</f>
        <v>2.06</v>
      </c>
      <c r="U38" s="57">
        <f t="shared" si="21"/>
        <v>3.06</v>
      </c>
      <c r="V38" s="57">
        <f t="shared" si="21"/>
        <v>4.0599999999999996</v>
      </c>
      <c r="W38" s="57">
        <f t="shared" ref="W38" si="22">W44+$S$3</f>
        <v>5.0599999999999996</v>
      </c>
      <c r="X38" s="18"/>
      <c r="Y38" s="18"/>
      <c r="Z38" s="18"/>
      <c r="AA38" s="51"/>
      <c r="AB38" s="34"/>
      <c r="AC38" s="12"/>
    </row>
    <row r="39" spans="1:29" s="1" customFormat="1" ht="14.45" customHeight="1" x14ac:dyDescent="0.2">
      <c r="A39" s="18"/>
      <c r="B39" s="667"/>
      <c r="C39" s="667"/>
      <c r="D39" s="667"/>
      <c r="E39" s="667"/>
      <c r="F39" s="667"/>
      <c r="G39" s="18"/>
      <c r="H39" s="18"/>
      <c r="I39" s="18"/>
      <c r="J39" s="18"/>
      <c r="K39" s="18"/>
      <c r="L39" s="18"/>
      <c r="M39" s="18"/>
      <c r="N39" s="18"/>
      <c r="O39" s="18"/>
      <c r="P39" s="18"/>
      <c r="Q39" s="18"/>
      <c r="R39" s="24" t="s">
        <v>90</v>
      </c>
      <c r="S39" s="57">
        <f>S99</f>
        <v>0</v>
      </c>
      <c r="T39" s="57">
        <f t="shared" ref="T39:V39" si="23">T99</f>
        <v>0</v>
      </c>
      <c r="U39" s="57">
        <f t="shared" si="23"/>
        <v>2.4399938598823354</v>
      </c>
      <c r="V39" s="57">
        <f t="shared" si="23"/>
        <v>1.0400567679005519</v>
      </c>
      <c r="W39" s="57">
        <f t="shared" ref="W39" si="24">W99</f>
        <v>1.20849157610985</v>
      </c>
      <c r="X39" s="18"/>
      <c r="Y39" s="18"/>
      <c r="Z39" s="18"/>
      <c r="AA39" s="51"/>
      <c r="AB39" s="34"/>
      <c r="AC39" s="12"/>
    </row>
    <row r="40" spans="1:29" s="1" customFormat="1" ht="13.9" customHeight="1" x14ac:dyDescent="0.2">
      <c r="A40" s="18"/>
      <c r="B40" s="667"/>
      <c r="C40" s="667"/>
      <c r="D40" s="667"/>
      <c r="E40" s="667"/>
      <c r="F40" s="667"/>
      <c r="G40" s="18"/>
      <c r="H40" s="18"/>
      <c r="I40" s="18"/>
      <c r="J40" s="18"/>
      <c r="K40" s="18"/>
      <c r="L40" s="18"/>
      <c r="M40" s="18"/>
      <c r="N40" s="18"/>
      <c r="O40" s="18"/>
      <c r="P40" s="18"/>
      <c r="Q40" s="18"/>
      <c r="R40" s="115" t="s">
        <v>91</v>
      </c>
      <c r="S40" s="291">
        <f>100*EXP((S96+S97)/100)-100-S39</f>
        <v>0</v>
      </c>
      <c r="T40" s="291">
        <f t="shared" ref="T40:V40" si="25">100*EXP((T96+T97)/100)-100-T39</f>
        <v>0</v>
      </c>
      <c r="U40" s="291">
        <f t="shared" si="25"/>
        <v>3.1169695668334327</v>
      </c>
      <c r="V40" s="291">
        <f t="shared" si="25"/>
        <v>2.8868938712426342</v>
      </c>
      <c r="W40" s="291">
        <f t="shared" ref="W40" si="26">100*EXP((W96+W97)/100)-100-W39</f>
        <v>3.2925033013247713</v>
      </c>
      <c r="X40" s="18"/>
      <c r="Y40" s="18"/>
      <c r="Z40" s="18"/>
      <c r="AA40" s="51"/>
      <c r="AB40" s="34"/>
      <c r="AC40" s="12"/>
    </row>
    <row r="41" spans="1:29" s="1" customFormat="1" ht="13.9" customHeight="1" x14ac:dyDescent="0.2">
      <c r="A41" s="18"/>
      <c r="B41" s="18"/>
      <c r="C41" s="18"/>
      <c r="D41" s="18"/>
      <c r="E41" s="18"/>
      <c r="F41" s="18"/>
      <c r="G41" s="18"/>
      <c r="H41" s="18"/>
      <c r="I41" s="18"/>
      <c r="J41" s="18"/>
      <c r="K41" s="18"/>
      <c r="L41" s="18"/>
      <c r="M41" s="18"/>
      <c r="N41" s="18"/>
      <c r="O41" s="18"/>
      <c r="P41" s="18"/>
      <c r="Q41" s="18"/>
      <c r="R41" s="115" t="s">
        <v>92</v>
      </c>
      <c r="S41" s="291">
        <f>S39-(100*EXP((S96-S97)/100)-100)</f>
        <v>0</v>
      </c>
      <c r="T41" s="291">
        <f t="shared" ref="T41:V41" si="27">T39-(100*EXP((T96-T97)/100)-100)</f>
        <v>0</v>
      </c>
      <c r="U41" s="291">
        <f t="shared" si="27"/>
        <v>3.0249292223107176</v>
      </c>
      <c r="V41" s="291">
        <f t="shared" si="27"/>
        <v>2.8067014267172823</v>
      </c>
      <c r="W41" s="291">
        <f t="shared" ref="W41" si="28">W39-(100*EXP((W96-W97)/100)-100)</f>
        <v>3.188766700520631</v>
      </c>
      <c r="X41" s="18"/>
      <c r="Y41" s="18"/>
      <c r="Z41" s="18"/>
      <c r="AA41" s="51"/>
      <c r="AB41" s="34"/>
      <c r="AC41" s="12"/>
    </row>
    <row r="42" spans="1:29" s="1" customFormat="1" ht="14.45" customHeight="1" x14ac:dyDescent="0.2">
      <c r="A42" s="18"/>
      <c r="B42" s="18"/>
      <c r="C42" s="18"/>
      <c r="D42" s="18"/>
      <c r="E42" s="168" t="s">
        <v>193</v>
      </c>
      <c r="F42" s="285">
        <v>1</v>
      </c>
      <c r="G42" s="285">
        <v>1</v>
      </c>
      <c r="H42" s="285">
        <v>1</v>
      </c>
      <c r="I42" s="285">
        <v>1</v>
      </c>
      <c r="J42" s="285">
        <v>1</v>
      </c>
      <c r="K42" s="18"/>
      <c r="L42" s="18"/>
      <c r="M42" s="29"/>
      <c r="N42" s="18"/>
      <c r="O42" s="18"/>
      <c r="P42" s="18"/>
      <c r="Q42" s="18"/>
      <c r="R42" s="168" t="s">
        <v>193</v>
      </c>
      <c r="S42" s="285">
        <v>1</v>
      </c>
      <c r="T42" s="285">
        <v>1</v>
      </c>
      <c r="U42" s="285">
        <v>1</v>
      </c>
      <c r="V42" s="285">
        <v>1</v>
      </c>
      <c r="W42" s="285">
        <v>1</v>
      </c>
      <c r="X42" s="18"/>
      <c r="Y42" s="18"/>
      <c r="Z42" s="18"/>
      <c r="AA42" s="51"/>
      <c r="AB42" s="34"/>
      <c r="AC42" s="12"/>
    </row>
    <row r="43" spans="1:29" s="1" customFormat="1" ht="13.9" customHeight="1" x14ac:dyDescent="0.2">
      <c r="A43" s="18"/>
      <c r="B43" s="30"/>
      <c r="C43" s="16"/>
      <c r="D43" s="16"/>
      <c r="E43" s="168" t="s">
        <v>193</v>
      </c>
      <c r="F43" s="171">
        <f t="shared" ref="F43:J43" si="29">COLUMN(F43)</f>
        <v>6</v>
      </c>
      <c r="G43" s="171">
        <f t="shared" si="29"/>
        <v>7</v>
      </c>
      <c r="H43" s="171">
        <f t="shared" si="29"/>
        <v>8</v>
      </c>
      <c r="I43" s="171">
        <f t="shared" si="29"/>
        <v>9</v>
      </c>
      <c r="J43" s="171">
        <f t="shared" si="29"/>
        <v>10</v>
      </c>
      <c r="K43" s="65"/>
      <c r="L43" s="18"/>
      <c r="M43" s="18"/>
      <c r="N43" s="18"/>
      <c r="O43" s="18"/>
      <c r="P43" s="18"/>
      <c r="Q43" s="18"/>
      <c r="R43" s="168" t="s">
        <v>193</v>
      </c>
      <c r="S43" s="171">
        <f t="shared" ref="S43:W43" si="30">COLUMN(S43)</f>
        <v>19</v>
      </c>
      <c r="T43" s="171">
        <f t="shared" si="30"/>
        <v>20</v>
      </c>
      <c r="U43" s="171">
        <f t="shared" si="30"/>
        <v>21</v>
      </c>
      <c r="V43" s="171">
        <f t="shared" si="30"/>
        <v>22</v>
      </c>
      <c r="W43" s="171">
        <f t="shared" si="30"/>
        <v>23</v>
      </c>
      <c r="X43" s="18"/>
      <c r="Y43" s="18"/>
      <c r="Z43" s="18"/>
      <c r="AA43" s="51"/>
      <c r="AB43" s="34"/>
      <c r="AC43" s="12"/>
    </row>
    <row r="44" spans="1:29" s="1" customFormat="1" ht="13.9" customHeight="1" x14ac:dyDescent="0.2">
      <c r="A44" s="18"/>
      <c r="B44" s="661" t="s">
        <v>198</v>
      </c>
      <c r="C44" s="662"/>
      <c r="D44" s="294"/>
      <c r="E44" s="246" t="s">
        <v>138</v>
      </c>
      <c r="F44" s="442">
        <f>Sheet1!F49</f>
        <v>1</v>
      </c>
      <c r="G44" s="442">
        <f>Sheet1!G49</f>
        <v>2</v>
      </c>
      <c r="H44" s="442">
        <f>Sheet1!H49</f>
        <v>3</v>
      </c>
      <c r="I44" s="442">
        <f>Sheet1!I49</f>
        <v>4</v>
      </c>
      <c r="J44" s="442">
        <f>Sheet1!J49</f>
        <v>5</v>
      </c>
      <c r="K44" s="286"/>
      <c r="L44" s="19"/>
      <c r="M44" s="18"/>
      <c r="N44" s="18"/>
      <c r="O44" s="661" t="s">
        <v>197</v>
      </c>
      <c r="P44" s="662"/>
      <c r="Q44" s="294"/>
      <c r="R44" s="246" t="s">
        <v>138</v>
      </c>
      <c r="S44" s="438">
        <f t="shared" ref="S44:W46" si="31">F44</f>
        <v>1</v>
      </c>
      <c r="T44" s="439">
        <f t="shared" si="31"/>
        <v>2</v>
      </c>
      <c r="U44" s="439">
        <f t="shared" si="31"/>
        <v>3</v>
      </c>
      <c r="V44" s="439">
        <f t="shared" si="31"/>
        <v>4</v>
      </c>
      <c r="W44" s="439">
        <f t="shared" si="31"/>
        <v>5</v>
      </c>
      <c r="X44" s="107"/>
      <c r="Y44" s="19"/>
      <c r="Z44" s="18"/>
      <c r="AA44" s="51"/>
      <c r="AB44" s="34"/>
      <c r="AC44" s="12"/>
    </row>
    <row r="45" spans="1:29" s="9" customFormat="1" ht="13.9" customHeight="1" x14ac:dyDescent="0.3">
      <c r="A45" s="52"/>
      <c r="B45" s="663"/>
      <c r="C45" s="664"/>
      <c r="D45" s="295"/>
      <c r="E45" s="287" t="s">
        <v>194</v>
      </c>
      <c r="F45" s="443">
        <f>IF(Sheet1!F50&lt;0,Sheet1!F50,0)</f>
        <v>-0.5</v>
      </c>
      <c r="G45" s="443">
        <f>IF(Sheet1!G50&lt;0,Sheet1!G50,0)</f>
        <v>-0.5</v>
      </c>
      <c r="H45" s="443">
        <f>IF(Sheet1!H50&lt;0,Sheet1!H50,0)</f>
        <v>0</v>
      </c>
      <c r="I45" s="443">
        <f>IF(Sheet1!I50&lt;0,Sheet1!I50,0)</f>
        <v>0</v>
      </c>
      <c r="J45" s="443">
        <f>IF(Sheet1!J50&lt;0,Sheet1!J50,0)</f>
        <v>0</v>
      </c>
      <c r="K45" s="288" t="str">
        <f>IF(SUM(F45:J45)=-1,"Good weights for deltas","Bad weights: see comment.")</f>
        <v>Good weights for deltas</v>
      </c>
      <c r="L45" s="20"/>
      <c r="M45" s="52"/>
      <c r="N45" s="52"/>
      <c r="O45" s="663"/>
      <c r="P45" s="664"/>
      <c r="Q45" s="295"/>
      <c r="R45" s="287" t="s">
        <v>194</v>
      </c>
      <c r="S45" s="440">
        <f t="shared" si="31"/>
        <v>-0.5</v>
      </c>
      <c r="T45" s="441">
        <f t="shared" si="31"/>
        <v>-0.5</v>
      </c>
      <c r="U45" s="441">
        <f t="shared" si="31"/>
        <v>0</v>
      </c>
      <c r="V45" s="441">
        <f t="shared" si="31"/>
        <v>0</v>
      </c>
      <c r="W45" s="441">
        <f t="shared" si="31"/>
        <v>0</v>
      </c>
      <c r="X45" s="288" t="str">
        <f>IF(SUM(S45:W45)=-1,"Good weights for deltas","Bad weights: see comment.")</f>
        <v>Good weights for deltas</v>
      </c>
      <c r="Y45" s="20"/>
      <c r="Z45" s="52"/>
      <c r="AA45" s="51"/>
      <c r="AB45" s="53"/>
      <c r="AC45" s="14"/>
    </row>
    <row r="46" spans="1:29" s="9" customFormat="1" ht="27.2" customHeight="1" x14ac:dyDescent="0.25">
      <c r="A46" s="104"/>
      <c r="B46" s="296" t="str">
        <f>Sheet1!B51</f>
        <v>Group</v>
      </c>
      <c r="C46" s="296" t="str">
        <f>Sheet1!C51</f>
        <v>Name</v>
      </c>
      <c r="D46" s="297" t="str">
        <f>Sheet1!D51</f>
        <v>X1</v>
      </c>
      <c r="E46" s="297" t="str">
        <f>Sheet1!E51</f>
        <v>X2</v>
      </c>
      <c r="F46" s="297" t="str">
        <f>Sheet1!F51</f>
        <v>Pre1</v>
      </c>
      <c r="G46" s="297" t="str">
        <f>Sheet1!G51</f>
        <v>Pre2</v>
      </c>
      <c r="H46" s="297" t="str">
        <f>Sheet1!H51</f>
        <v>Post1</v>
      </c>
      <c r="I46" s="297" t="str">
        <f>Sheet1!I51</f>
        <v>Post2</v>
      </c>
      <c r="J46" s="297" t="str">
        <f>Sheet1!J51</f>
        <v>Post3</v>
      </c>
      <c r="K46" s="284"/>
      <c r="L46" s="284"/>
      <c r="M46" s="52"/>
      <c r="N46" s="104"/>
      <c r="O46" s="85" t="str">
        <f>B46</f>
        <v>Group</v>
      </c>
      <c r="P46" s="85" t="str">
        <f>C46</f>
        <v>Name</v>
      </c>
      <c r="Q46" s="88" t="str">
        <f>D46</f>
        <v>X1</v>
      </c>
      <c r="R46" s="88" t="str">
        <f>E46</f>
        <v>X2</v>
      </c>
      <c r="S46" s="88" t="str">
        <f t="shared" si="31"/>
        <v>Pre1</v>
      </c>
      <c r="T46" s="88" t="str">
        <f t="shared" si="31"/>
        <v>Pre2</v>
      </c>
      <c r="U46" s="88" t="str">
        <f t="shared" si="31"/>
        <v>Post1</v>
      </c>
      <c r="V46" s="88" t="str">
        <f t="shared" si="31"/>
        <v>Post2</v>
      </c>
      <c r="W46" s="88" t="str">
        <f t="shared" si="31"/>
        <v>Post3</v>
      </c>
      <c r="X46" s="284"/>
      <c r="Y46" s="284"/>
      <c r="Z46" s="52"/>
      <c r="AA46" s="51"/>
      <c r="AB46" s="53"/>
      <c r="AC46" s="14"/>
    </row>
    <row r="47" spans="1:29" x14ac:dyDescent="0.2">
      <c r="A47" s="105"/>
      <c r="B47" s="298" t="str">
        <f>Sheet1!B52</f>
        <v>Control</v>
      </c>
      <c r="C47" s="298" t="str">
        <f>Sheet1!C52</f>
        <v>Alex</v>
      </c>
      <c r="D47" s="299"/>
      <c r="E47" s="299"/>
      <c r="F47" s="299">
        <f>IF(F$45&lt;0,0,Sheet1!F52+SUMPRODUCT($F$45:$J$45,Sheet1!$F52:$J52))</f>
        <v>0</v>
      </c>
      <c r="G47" s="299">
        <f>IF(G$45&lt;0,0,Sheet1!G52+SUMPRODUCT($F$45:$J$45,Sheet1!$F52:$J52))</f>
        <v>0</v>
      </c>
      <c r="H47" s="299">
        <f>IF(H$45&lt;0,0,Sheet1!H52+SUMPRODUCT($F$45:$J$45,Sheet1!$F52:$J52))</f>
        <v>-6.1500000000000341</v>
      </c>
      <c r="I47" s="299">
        <f>IF(I$45&lt;0,0,Sheet1!I52+SUMPRODUCT($F$45:$J$45,Sheet1!$F52:$J52))</f>
        <v>12.25</v>
      </c>
      <c r="J47" s="299">
        <f>IF(J$45&lt;0,0,Sheet1!J52+SUMPRODUCT($F$45:$J$45,Sheet1!$F52:$J52))</f>
        <v>-4.6500000000000341</v>
      </c>
      <c r="K47" s="323" t="str">
        <f>IF(SUMIFS($F$43:$J$43,Sheet1!F52:J52,"",$F$45:$J$45,"&lt;0")&gt;0,IF(OR(SUMIFS($F$42:$J$42,F47:J47,"")=SUM($F$42:$J$42),SUMIFS($F$42:$J$42,F47:J47,"")=SUMIFS($F$42:$J$42,$F$45:$J$45,"=0")),"","Clear all deltas"),IF(SUMIFS($F$43:$J$43,Sheet1!F52:J52,"",$F$45:$J$45,"=0")-SUMIFS($F$43:$J$43,F47:J47,"",$F$45:$J$45,"=0")&gt;0,"Clear deltas with missing values",""))</f>
        <v/>
      </c>
      <c r="L47" s="316"/>
      <c r="M47" s="38"/>
      <c r="N47" s="105"/>
      <c r="O47" s="298" t="str">
        <f t="shared" ref="O47:O66" si="32">B47</f>
        <v>Control</v>
      </c>
      <c r="P47" s="298" t="str">
        <f t="shared" ref="P47:P66" si="33">C47</f>
        <v>Alex</v>
      </c>
      <c r="Q47" s="299"/>
      <c r="R47" s="302"/>
      <c r="S47" s="303">
        <f>IF(S$45&lt;0,0,Sheet1!W52+SUMPRODUCT($F$45:$J$45,Sheet1!$W52:$AA52))</f>
        <v>0</v>
      </c>
      <c r="T47" s="303">
        <f>IF(T$45&lt;0,0,Sheet1!X52+SUMPRODUCT($F$45:$J$45,Sheet1!$W52:$AA52))</f>
        <v>0</v>
      </c>
      <c r="U47" s="303">
        <f>IF(U$45&lt;0,0,Sheet1!Y52+SUMPRODUCT($F$45:$J$45,Sheet1!$W52:$AA52))</f>
        <v>-1.5510205727846369</v>
      </c>
      <c r="V47" s="303">
        <f>IF(V$45&lt;0,0,Sheet1!Z52+SUMPRODUCT($F$45:$J$45,Sheet1!$W52:$AA52))</f>
        <v>3.0280326592022675</v>
      </c>
      <c r="W47" s="303">
        <f>IF(W$45&lt;0,0,Sheet1!AA52+SUMPRODUCT($F$45:$J$45,Sheet1!$W52:$AA52))</f>
        <v>-1.1697772593190621</v>
      </c>
      <c r="X47" s="323" t="str">
        <f>IF(ISERROR(SUM(S47:W47)),"Clear #NUM! in Sheet1",IF(SUMIFS($S$43:$W$43,Sheet1!W52:AA52,"",$S$45:$W$45,"&lt;0")&gt;0,IF(OR(SUMIFS($S$42:$W$42,S47:W47,"")=SUM($S$42:$W$42),SUMIFS($S$42:$W$42,S47:W47,"")=SUMIFS($S$42:$W$42,$S$45:$W$45,"=0")),"","Clear all deltas"),IF(SUMIFS($S$43:$W$43,Sheet1!W52:AA52,"",$S$45:$W$45,"=0")-SUMIFS($S$43:$W$43,S47:W47,"",$S$45:$W$45,"=0")&gt;0,"Clear deltas with missing values","")))</f>
        <v/>
      </c>
      <c r="Y47" s="321"/>
      <c r="Z47" s="18"/>
      <c r="AA47" s="51"/>
      <c r="AB47" s="34"/>
      <c r="AC47" s="2"/>
    </row>
    <row r="48" spans="1:29" x14ac:dyDescent="0.2">
      <c r="A48" s="105"/>
      <c r="B48" s="298" t="str">
        <f>Sheet1!B53</f>
        <v>Control</v>
      </c>
      <c r="C48" s="298" t="str">
        <f>Sheet1!C53</f>
        <v>Ariel</v>
      </c>
      <c r="D48" s="299"/>
      <c r="E48" s="299"/>
      <c r="F48" s="299">
        <f>IF(F$45&lt;0,0,Sheet1!F53+SUMPRODUCT($F$45:$J$45,Sheet1!$F53:$J53))</f>
        <v>0</v>
      </c>
      <c r="G48" s="299">
        <f>IF(G$45&lt;0,0,Sheet1!G53+SUMPRODUCT($F$45:$J$45,Sheet1!$F53:$J53))</f>
        <v>0</v>
      </c>
      <c r="H48" s="299">
        <f>IF(H$45&lt;0,0,Sheet1!H53+SUMPRODUCT($F$45:$J$45,Sheet1!$F53:$J53))</f>
        <v>9.5500000000000682</v>
      </c>
      <c r="I48" s="299">
        <f>IF(I$45&lt;0,0,Sheet1!I53+SUMPRODUCT($F$45:$J$45,Sheet1!$F53:$J53))</f>
        <v>-3.7499999999999432</v>
      </c>
      <c r="J48" s="299">
        <f>IF(J$45&lt;0,0,Sheet1!J53+SUMPRODUCT($F$45:$J$45,Sheet1!$F53:$J53))</f>
        <v>-0.64999999999997726</v>
      </c>
      <c r="K48" s="323" t="str">
        <f>IF(SUMIFS($F$43:$J$43,Sheet1!F53:J53,"",$F$45:$J$45,"&lt;0")&gt;0,IF(OR(SUMIFS($F$42:$J$42,F48:J48,"")=SUM($F$42:$J$42),SUMIFS($F$42:$J$42,F48:J48,"")=SUMIFS($F$42:$J$42,$F$45:$J$45,"=0")),"","Clear all deltas"),IF(SUMIFS($F$43:$J$43,Sheet1!F53:J53,"",$F$45:$J$45,"=0")-SUMIFS($F$43:$J$43,F48:J48,"",$F$45:$J$45,"=0")&gt;0,"Clear deltas with missing values",""))</f>
        <v/>
      </c>
      <c r="L48" s="316"/>
      <c r="M48" s="38"/>
      <c r="N48" s="105"/>
      <c r="O48" s="298" t="str">
        <f t="shared" si="32"/>
        <v>Control</v>
      </c>
      <c r="P48" s="298" t="str">
        <f t="shared" si="33"/>
        <v>Ariel</v>
      </c>
      <c r="Q48" s="299"/>
      <c r="R48" s="302"/>
      <c r="S48" s="303">
        <f>IF(S$45&lt;0,0,Sheet1!W53+SUMPRODUCT($F$45:$J$45,Sheet1!$W53:$AA53))</f>
        <v>0</v>
      </c>
      <c r="T48" s="303">
        <f>IF(T$45&lt;0,0,Sheet1!X53+SUMPRODUCT($F$45:$J$45,Sheet1!$W53:$AA53))</f>
        <v>0</v>
      </c>
      <c r="U48" s="303">
        <f>IF(U$45&lt;0,0,Sheet1!Y53+SUMPRODUCT($F$45:$J$45,Sheet1!$W53:$AA53))</f>
        <v>2.4010963243588321</v>
      </c>
      <c r="V48" s="303">
        <f>IF(V$45&lt;0,0,Sheet1!Z53+SUMPRODUCT($F$45:$J$45,Sheet1!$W53:$AA53))</f>
        <v>-0.95822953456934101</v>
      </c>
      <c r="W48" s="303">
        <f>IF(W$45&lt;0,0,Sheet1!AA53+SUMPRODUCT($F$45:$J$45,Sheet1!$W53:$AA53))</f>
        <v>-0.16508222708944231</v>
      </c>
      <c r="X48" s="323" t="str">
        <f>IF(ISERROR(SUM(S48:W48)),"Clear #NUM! in Sheet1",IF(SUMIFS($S$43:$W$43,Sheet1!W53:AA53,"",$S$45:$W$45,"&lt;0")&gt;0,IF(OR(SUMIFS($S$42:$W$42,S48:W48,"")=SUM($S$42:$W$42),SUMIFS($S$42:$W$42,S48:W48,"")=SUMIFS($S$42:$W$42,$S$45:$W$45,"=0")),"","Clear all deltas"),IF(SUMIFS($S$43:$W$43,Sheet1!W53:AA53,"",$S$45:$W$45,"=0")-SUMIFS($S$43:$W$43,S48:W48,"",$S$45:$W$45,"=0")&gt;0,"Clear deltas with missing values","")))</f>
        <v/>
      </c>
      <c r="Y48" s="321"/>
      <c r="Z48" s="18"/>
      <c r="AA48" s="51"/>
      <c r="AB48" s="34"/>
      <c r="AC48" s="2"/>
    </row>
    <row r="49" spans="1:29" x14ac:dyDescent="0.2">
      <c r="A49" s="105"/>
      <c r="B49" s="298" t="str">
        <f>Sheet1!B54</f>
        <v>Control</v>
      </c>
      <c r="C49" s="298" t="str">
        <f>Sheet1!C54</f>
        <v>Ashley</v>
      </c>
      <c r="D49" s="299"/>
      <c r="E49" s="299"/>
      <c r="F49" s="299">
        <f>IF(F$45&lt;0,0,Sheet1!F54+SUMPRODUCT($F$45:$J$45,Sheet1!$F54:$J54))</f>
        <v>0</v>
      </c>
      <c r="G49" s="299">
        <f>IF(G$45&lt;0,0,Sheet1!G54+SUMPRODUCT($F$45:$J$45,Sheet1!$F54:$J54))</f>
        <v>0</v>
      </c>
      <c r="H49" s="299">
        <f>IF(H$45&lt;0,0,Sheet1!H54+SUMPRODUCT($F$45:$J$45,Sheet1!$F54:$J54))</f>
        <v>-0.50000000000005684</v>
      </c>
      <c r="I49" s="299">
        <f>IF(I$45&lt;0,0,Sheet1!I54+SUMPRODUCT($F$45:$J$45,Sheet1!$F54:$J54))</f>
        <v>-3.1000000000000227</v>
      </c>
      <c r="J49" s="299">
        <f>IF(J$45&lt;0,0,Sheet1!J54+SUMPRODUCT($F$45:$J$45,Sheet1!$F54:$J54))</f>
        <v>-12.700000000000045</v>
      </c>
      <c r="K49" s="323" t="str">
        <f>IF(SUMIFS($F$43:$J$43,Sheet1!F54:J54,"",$F$45:$J$45,"&lt;0")&gt;0,IF(OR(SUMIFS($F$42:$J$42,F49:J49,"")=SUM($F$42:$J$42),SUMIFS($F$42:$J$42,F49:J49,"")=SUMIFS($F$42:$J$42,$F$45:$J$45,"=0")),"","Clear all deltas"),IF(SUMIFS($F$43:$J$43,Sheet1!F54:J54,"",$F$45:$J$45,"=0")-SUMIFS($F$43:$J$43,F49:J49,"",$F$45:$J$45,"=0")&gt;0,"Clear deltas with missing values",""))</f>
        <v/>
      </c>
      <c r="L49" s="316"/>
      <c r="M49" s="38"/>
      <c r="N49" s="105"/>
      <c r="O49" s="298" t="str">
        <f t="shared" si="32"/>
        <v>Control</v>
      </c>
      <c r="P49" s="298" t="str">
        <f t="shared" si="33"/>
        <v>Ashley</v>
      </c>
      <c r="Q49" s="299"/>
      <c r="R49" s="302"/>
      <c r="S49" s="303">
        <f>IF(S$45&lt;0,0,Sheet1!W54+SUMPRODUCT($F$45:$J$45,Sheet1!$W54:$AA54))</f>
        <v>0</v>
      </c>
      <c r="T49" s="303">
        <f>IF(T$45&lt;0,0,Sheet1!X54+SUMPRODUCT($F$45:$J$45,Sheet1!$W54:$AA54))</f>
        <v>0</v>
      </c>
      <c r="U49" s="303">
        <f>IF(U$45&lt;0,0,Sheet1!Y54+SUMPRODUCT($F$45:$J$45,Sheet1!$W54:$AA54))</f>
        <v>-0.11689498085263494</v>
      </c>
      <c r="V49" s="303">
        <f>IF(V$45&lt;0,0,Sheet1!Z54+SUMPRODUCT($F$45:$J$45,Sheet1!$W54:$AA54))</f>
        <v>-0.76950773885982926</v>
      </c>
      <c r="W49" s="303">
        <f>IF(W$45&lt;0,0,Sheet1!AA54+SUMPRODUCT($F$45:$J$45,Sheet1!$W54:$AA54))</f>
        <v>-3.2167366732402343</v>
      </c>
      <c r="X49" s="323" t="str">
        <f>IF(ISERROR(SUM(S49:W49)),"Clear #NUM! in Sheet1",IF(SUMIFS($S$43:$W$43,Sheet1!W54:AA54,"",$S$45:$W$45,"&lt;0")&gt;0,IF(OR(SUMIFS($S$42:$W$42,S49:W49,"")=SUM($S$42:$W$42),SUMIFS($S$42:$W$42,S49:W49,"")=SUMIFS($S$42:$W$42,$S$45:$W$45,"=0")),"","Clear all deltas"),IF(SUMIFS($S$43:$W$43,Sheet1!W54:AA54,"",$S$45:$W$45,"=0")-SUMIFS($S$43:$W$43,S49:W49,"",$S$45:$W$45,"=0")&gt;0,"Clear deltas with missing values","")))</f>
        <v/>
      </c>
      <c r="Y49" s="321"/>
      <c r="Z49" s="18"/>
      <c r="AA49" s="51"/>
      <c r="AB49" s="34"/>
      <c r="AC49" s="2"/>
    </row>
    <row r="50" spans="1:29" x14ac:dyDescent="0.2">
      <c r="A50" s="105"/>
      <c r="B50" s="298" t="str">
        <f>Sheet1!B55</f>
        <v>Control</v>
      </c>
      <c r="C50" s="298" t="str">
        <f>Sheet1!C55</f>
        <v>Bernie</v>
      </c>
      <c r="D50" s="299"/>
      <c r="E50" s="299"/>
      <c r="F50" s="299">
        <f>IF(F$45&lt;0,0,Sheet1!F55+SUMPRODUCT($F$45:$J$45,Sheet1!$F55:$J55))</f>
        <v>0</v>
      </c>
      <c r="G50" s="299">
        <f>IF(G$45&lt;0,0,Sheet1!G55+SUMPRODUCT($F$45:$J$45,Sheet1!$F55:$J55))</f>
        <v>0</v>
      </c>
      <c r="H50" s="299">
        <f>IF(H$45&lt;0,0,Sheet1!H55+SUMPRODUCT($F$45:$J$45,Sheet1!$F55:$J55))</f>
        <v>0.55000000000001137</v>
      </c>
      <c r="I50" s="299">
        <f>IF(I$45&lt;0,0,Sheet1!I55+SUMPRODUCT($F$45:$J$45,Sheet1!$F55:$J55))</f>
        <v>-16.549999999999955</v>
      </c>
      <c r="J50" s="299">
        <f>IF(J$45&lt;0,0,Sheet1!J55+SUMPRODUCT($F$45:$J$45,Sheet1!$F55:$J55))</f>
        <v>6.4500000000000455</v>
      </c>
      <c r="K50" s="323" t="str">
        <f>IF(SUMIFS($F$43:$J$43,Sheet1!F55:J55,"",$F$45:$J$45,"&lt;0")&gt;0,IF(OR(SUMIFS($F$42:$J$42,F50:J50,"")=SUM($F$42:$J$42),SUMIFS($F$42:$J$42,F50:J50,"")=SUMIFS($F$42:$J$42,$F$45:$J$45,"=0")),"","Clear all deltas"),IF(SUMIFS($F$43:$J$43,Sheet1!F55:J55,"",$F$45:$J$45,"=0")-SUMIFS($F$43:$J$43,F50:J50,"",$F$45:$J$45,"=0")&gt;0,"Clear deltas with missing values",""))</f>
        <v/>
      </c>
      <c r="L50" s="316"/>
      <c r="M50" s="38"/>
      <c r="N50" s="105"/>
      <c r="O50" s="298" t="str">
        <f t="shared" si="32"/>
        <v>Control</v>
      </c>
      <c r="P50" s="298" t="str">
        <f t="shared" si="33"/>
        <v>Bernie</v>
      </c>
      <c r="Q50" s="299"/>
      <c r="R50" s="302"/>
      <c r="S50" s="303">
        <f>IF(S$45&lt;0,0,Sheet1!W55+SUMPRODUCT($F$45:$J$45,Sheet1!$W55:$AA55))</f>
        <v>0</v>
      </c>
      <c r="T50" s="303">
        <f>IF(T$45&lt;0,0,Sheet1!X55+SUMPRODUCT($F$45:$J$45,Sheet1!$W55:$AA55))</f>
        <v>0</v>
      </c>
      <c r="U50" s="303">
        <f>IF(U$45&lt;0,0,Sheet1!Y55+SUMPRODUCT($F$45:$J$45,Sheet1!$W55:$AA55))</f>
        <v>0.14757495155299694</v>
      </c>
      <c r="V50" s="303">
        <f>IF(V$45&lt;0,0,Sheet1!Z55+SUMPRODUCT($F$45:$J$45,Sheet1!$W55:$AA55))</f>
        <v>-4.1696422349679096</v>
      </c>
      <c r="W50" s="303">
        <f>IF(W$45&lt;0,0,Sheet1!AA55+SUMPRODUCT($F$45:$J$45,Sheet1!$W55:$AA55))</f>
        <v>1.5949202218542951</v>
      </c>
      <c r="X50" s="323" t="str">
        <f>IF(ISERROR(SUM(S50:W50)),"Clear #NUM! in Sheet1",IF(SUMIFS($S$43:$W$43,Sheet1!W55:AA55,"",$S$45:$W$45,"&lt;0")&gt;0,IF(OR(SUMIFS($S$42:$W$42,S50:W50,"")=SUM($S$42:$W$42),SUMIFS($S$42:$W$42,S50:W50,"")=SUMIFS($S$42:$W$42,$S$45:$W$45,"=0")),"","Clear all deltas"),IF(SUMIFS($S$43:$W$43,Sheet1!W55:AA55,"",$S$45:$W$45,"=0")-SUMIFS($S$43:$W$43,S50:W50,"",$S$45:$W$45,"=0")&gt;0,"Clear deltas with missing values","")))</f>
        <v/>
      </c>
      <c r="Y50" s="321"/>
      <c r="Z50" s="18"/>
      <c r="AA50" s="51"/>
      <c r="AB50" s="34"/>
      <c r="AC50" s="2"/>
    </row>
    <row r="51" spans="1:29" x14ac:dyDescent="0.2">
      <c r="A51" s="105"/>
      <c r="B51" s="298" t="str">
        <f>Sheet1!B56</f>
        <v>Control</v>
      </c>
      <c r="C51" s="298" t="str">
        <f>Sheet1!C56</f>
        <v>Casey</v>
      </c>
      <c r="D51" s="299"/>
      <c r="E51" s="299"/>
      <c r="F51" s="299">
        <f>IF(F$45&lt;0,0,Sheet1!F56+SUMPRODUCT($F$45:$J$45,Sheet1!$F56:$J56))</f>
        <v>0</v>
      </c>
      <c r="G51" s="299">
        <f>IF(G$45&lt;0,0,Sheet1!G56+SUMPRODUCT($F$45:$J$45,Sheet1!$F56:$J56))</f>
        <v>0</v>
      </c>
      <c r="H51" s="299">
        <f>IF(H$45&lt;0,0,Sheet1!H56+SUMPRODUCT($F$45:$J$45,Sheet1!$F56:$J56))</f>
        <v>7.1999999999999886</v>
      </c>
      <c r="I51" s="299">
        <f>IF(I$45&lt;0,0,Sheet1!I56+SUMPRODUCT($F$45:$J$45,Sheet1!$F56:$J56))</f>
        <v>-4.4000000000000341</v>
      </c>
      <c r="J51" s="299">
        <f>IF(J$45&lt;0,0,Sheet1!J56+SUMPRODUCT($F$45:$J$45,Sheet1!$F56:$J56))</f>
        <v>-2.6999999999999886</v>
      </c>
      <c r="K51" s="323" t="str">
        <f>IF(SUMIFS($F$43:$J$43,Sheet1!F56:J56,"",$F$45:$J$45,"&lt;0")&gt;0,IF(OR(SUMIFS($F$42:$J$42,F51:J51,"")=SUM($F$42:$J$42),SUMIFS($F$42:$J$42,F51:J51,"")=SUMIFS($F$42:$J$42,$F$45:$J$45,"=0")),"","Clear all deltas"),IF(SUMIFS($F$43:$J$43,Sheet1!F56:J56,"",$F$45:$J$45,"=0")-SUMIFS($F$43:$J$43,F51:J51,"",$F$45:$J$45,"=0")&gt;0,"Clear deltas with missing values",""))</f>
        <v/>
      </c>
      <c r="L51" s="316"/>
      <c r="M51" s="38"/>
      <c r="N51" s="105"/>
      <c r="O51" s="298" t="str">
        <f t="shared" si="32"/>
        <v>Control</v>
      </c>
      <c r="P51" s="298" t="str">
        <f t="shared" si="33"/>
        <v>Casey</v>
      </c>
      <c r="Q51" s="299"/>
      <c r="R51" s="302"/>
      <c r="S51" s="303">
        <f>IF(S$45&lt;0,0,Sheet1!W56+SUMPRODUCT($F$45:$J$45,Sheet1!$W56:$AA56))</f>
        <v>0</v>
      </c>
      <c r="T51" s="303">
        <f>IF(T$45&lt;0,0,Sheet1!X56+SUMPRODUCT($F$45:$J$45,Sheet1!$W56:$AA56))</f>
        <v>0</v>
      </c>
      <c r="U51" s="303">
        <f>IF(U$45&lt;0,0,Sheet1!Y56+SUMPRODUCT($F$45:$J$45,Sheet1!$W56:$AA56))</f>
        <v>1.7544581576914879</v>
      </c>
      <c r="V51" s="303">
        <f>IF(V$45&lt;0,0,Sheet1!Z56+SUMPRODUCT($F$45:$J$45,Sheet1!$W56:$AA56))</f>
        <v>-1.0874773462869598</v>
      </c>
      <c r="W51" s="303">
        <f>IF(W$45&lt;0,0,Sheet1!AA56+SUMPRODUCT($F$45:$J$45,Sheet1!$W56:$AA56))</f>
        <v>-0.66590201639712632</v>
      </c>
      <c r="X51" s="323" t="str">
        <f>IF(ISERROR(SUM(S51:W51)),"Clear #NUM! in Sheet1",IF(SUMIFS($S$43:$W$43,Sheet1!W56:AA56,"",$S$45:$W$45,"&lt;0")&gt;0,IF(OR(SUMIFS($S$42:$W$42,S51:W51,"")=SUM($S$42:$W$42),SUMIFS($S$42:$W$42,S51:W51,"")=SUMIFS($S$42:$W$42,$S$45:$W$45,"=0")),"","Clear all deltas"),IF(SUMIFS($S$43:$W$43,Sheet1!W56:AA56,"",$S$45:$W$45,"=0")-SUMIFS($S$43:$W$43,S51:W51,"",$S$45:$W$45,"=0")&gt;0,"Clear deltas with missing values","")))</f>
        <v/>
      </c>
      <c r="Y51" s="321"/>
      <c r="Z51" s="18"/>
      <c r="AA51" s="51"/>
      <c r="AB51" s="34"/>
      <c r="AC51" s="2"/>
    </row>
    <row r="52" spans="1:29" x14ac:dyDescent="0.2">
      <c r="A52" s="105"/>
      <c r="B52" s="298" t="str">
        <f>Sheet1!B57</f>
        <v>Control</v>
      </c>
      <c r="C52" s="298" t="str">
        <f>Sheet1!C57</f>
        <v>Chris</v>
      </c>
      <c r="D52" s="299"/>
      <c r="E52" s="299"/>
      <c r="F52" s="299">
        <f>IF(F$45&lt;0,0,Sheet1!F57+SUMPRODUCT($F$45:$J$45,Sheet1!$F57:$J57))</f>
        <v>0</v>
      </c>
      <c r="G52" s="299">
        <f>IF(G$45&lt;0,0,Sheet1!G57+SUMPRODUCT($F$45:$J$45,Sheet1!$F57:$J57))</f>
        <v>0</v>
      </c>
      <c r="H52" s="299">
        <f>IF(H$45&lt;0,0,Sheet1!H57+SUMPRODUCT($F$45:$J$45,Sheet1!$F57:$J57))</f>
        <v>10.150000000000034</v>
      </c>
      <c r="I52" s="299">
        <f>IF(I$45&lt;0,0,Sheet1!I57+SUMPRODUCT($F$45:$J$45,Sheet1!$F57:$J57))</f>
        <v>8.5500000000000114</v>
      </c>
      <c r="J52" s="299">
        <f>IF(J$45&lt;0,0,Sheet1!J57+SUMPRODUCT($F$45:$J$45,Sheet1!$F57:$J57))</f>
        <v>6.75</v>
      </c>
      <c r="K52" s="323" t="str">
        <f>IF(SUMIFS($F$43:$J$43,Sheet1!F57:J57,"",$F$45:$J$45,"&lt;0")&gt;0,IF(OR(SUMIFS($F$42:$J$42,F52:J52,"")=SUM($F$42:$J$42),SUMIFS($F$42:$J$42,F52:J52,"")=SUMIFS($F$42:$J$42,$F$45:$J$45,"=0")),"","Clear all deltas"),IF(SUMIFS($F$43:$J$43,Sheet1!F57:J57,"",$F$45:$J$45,"=0")-SUMIFS($F$43:$J$43,F52:J52,"",$F$45:$J$45,"=0")&gt;0,"Clear deltas with missing values",""))</f>
        <v/>
      </c>
      <c r="L52" s="316"/>
      <c r="M52" s="38"/>
      <c r="N52" s="105"/>
      <c r="O52" s="298" t="str">
        <f t="shared" si="32"/>
        <v>Control</v>
      </c>
      <c r="P52" s="298" t="str">
        <f t="shared" si="33"/>
        <v>Chris</v>
      </c>
      <c r="Q52" s="299"/>
      <c r="R52" s="302"/>
      <c r="S52" s="303">
        <f>IF(S$45&lt;0,0,Sheet1!W57+SUMPRODUCT($F$45:$J$45,Sheet1!$W57:$AA57))</f>
        <v>0</v>
      </c>
      <c r="T52" s="303">
        <f>IF(T$45&lt;0,0,Sheet1!X57+SUMPRODUCT($F$45:$J$45,Sheet1!$W57:$AA57))</f>
        <v>0</v>
      </c>
      <c r="U52" s="303">
        <f>IF(U$45&lt;0,0,Sheet1!Y57+SUMPRODUCT($F$45:$J$45,Sheet1!$W57:$AA57))</f>
        <v>2.5377668503634823</v>
      </c>
      <c r="V52" s="303">
        <f>IF(V$45&lt;0,0,Sheet1!Z57+SUMPRODUCT($F$45:$J$45,Sheet1!$W57:$AA57))</f>
        <v>2.1420206004994498</v>
      </c>
      <c r="W52" s="303">
        <f>IF(W$45&lt;0,0,Sheet1!AA57+SUMPRODUCT($F$45:$J$45,Sheet1!$W57:$AA57))</f>
        <v>1.6949259660226517</v>
      </c>
      <c r="X52" s="323" t="str">
        <f>IF(ISERROR(SUM(S52:W52)),"Clear #NUM! in Sheet1",IF(SUMIFS($S$43:$W$43,Sheet1!W57:AA57,"",$S$45:$W$45,"&lt;0")&gt;0,IF(OR(SUMIFS($S$42:$W$42,S52:W52,"")=SUM($S$42:$W$42),SUMIFS($S$42:$W$42,S52:W52,"")=SUMIFS($S$42:$W$42,$S$45:$W$45,"=0")),"","Clear all deltas"),IF(SUMIFS($S$43:$W$43,Sheet1!W57:AA57,"",$S$45:$W$45,"=0")-SUMIFS($S$43:$W$43,S52:W52,"",$S$45:$W$45,"=0")&gt;0,"Clear deltas with missing values","")))</f>
        <v/>
      </c>
      <c r="Y52" s="321"/>
      <c r="Z52" s="18"/>
      <c r="AA52" s="51"/>
      <c r="AB52" s="34"/>
      <c r="AC52" s="2"/>
    </row>
    <row r="53" spans="1:29" x14ac:dyDescent="0.2">
      <c r="A53" s="105"/>
      <c r="B53" s="298" t="str">
        <f>Sheet1!B58</f>
        <v>Control</v>
      </c>
      <c r="C53" s="298" t="str">
        <f>Sheet1!C58</f>
        <v>Corey</v>
      </c>
      <c r="D53" s="299"/>
      <c r="E53" s="299"/>
      <c r="F53" s="299">
        <f>IF(F$45&lt;0,0,Sheet1!F58+SUMPRODUCT($F$45:$J$45,Sheet1!$F58:$J58))</f>
        <v>0</v>
      </c>
      <c r="G53" s="299">
        <f>IF(G$45&lt;0,0,Sheet1!G58+SUMPRODUCT($F$45:$J$45,Sheet1!$F58:$J58))</f>
        <v>0</v>
      </c>
      <c r="H53" s="299">
        <f>IF(H$45&lt;0,0,Sheet1!H58+SUMPRODUCT($F$45:$J$45,Sheet1!$F58:$J58))</f>
        <v>2.2999999999999545</v>
      </c>
      <c r="I53" s="299">
        <f>IF(I$45&lt;0,0,Sheet1!I58+SUMPRODUCT($F$45:$J$45,Sheet1!$F58:$J58))</f>
        <v>-1.2000000000000455</v>
      </c>
      <c r="J53" s="299">
        <f>IF(J$45&lt;0,0,Sheet1!J58+SUMPRODUCT($F$45:$J$45,Sheet1!$F58:$J58))</f>
        <v>7</v>
      </c>
      <c r="K53" s="323" t="str">
        <f>IF(SUMIFS($F$43:$J$43,Sheet1!F58:J58,"",$F$45:$J$45,"&lt;0")&gt;0,IF(OR(SUMIFS($F$42:$J$42,F53:J53,"")=SUM($F$42:$J$42),SUMIFS($F$42:$J$42,F53:J53,"")=SUMIFS($F$42:$J$42,$F$45:$J$45,"=0")),"","Clear all deltas"),IF(SUMIFS($F$43:$J$43,Sheet1!F58:J58,"",$F$45:$J$45,"=0")-SUMIFS($F$43:$J$43,F53:J53,"",$F$45:$J$45,"=0")&gt;0,"Clear deltas with missing values",""))</f>
        <v/>
      </c>
      <c r="L53" s="316"/>
      <c r="M53" s="38"/>
      <c r="N53" s="105"/>
      <c r="O53" s="298" t="str">
        <f t="shared" si="32"/>
        <v>Control</v>
      </c>
      <c r="P53" s="298" t="str">
        <f t="shared" si="33"/>
        <v>Corey</v>
      </c>
      <c r="Q53" s="299"/>
      <c r="R53" s="302"/>
      <c r="S53" s="303">
        <f>IF(S$45&lt;0,0,Sheet1!W58+SUMPRODUCT($F$45:$J$45,Sheet1!$W58:$AA58))</f>
        <v>0</v>
      </c>
      <c r="T53" s="303">
        <f>IF(T$45&lt;0,0,Sheet1!X58+SUMPRODUCT($F$45:$J$45,Sheet1!$W58:$AA58))</f>
        <v>0</v>
      </c>
      <c r="U53" s="303">
        <f>IF(U$45&lt;0,0,Sheet1!Y58+SUMPRODUCT($F$45:$J$45,Sheet1!$W58:$AA58))</f>
        <v>0.58360870364970197</v>
      </c>
      <c r="V53" s="303">
        <f>IF(V$45&lt;0,0,Sheet1!Z58+SUMPRODUCT($F$45:$J$45,Sheet1!$W58:$AA58))</f>
        <v>-0.28348455262459993</v>
      </c>
      <c r="W53" s="303">
        <f>IF(W$45&lt;0,0,Sheet1!AA58+SUMPRODUCT($F$45:$J$45,Sheet1!$W58:$AA58))</f>
        <v>1.7362885416611107</v>
      </c>
      <c r="X53" s="323" t="str">
        <f>IF(ISERROR(SUM(S53:W53)),"Clear #NUM! in Sheet1",IF(SUMIFS($S$43:$W$43,Sheet1!W58:AA58,"",$S$45:$W$45,"&lt;0")&gt;0,IF(OR(SUMIFS($S$42:$W$42,S53:W53,"")=SUM($S$42:$W$42),SUMIFS($S$42:$W$42,S53:W53,"")=SUMIFS($S$42:$W$42,$S$45:$W$45,"=0")),"","Clear all deltas"),IF(SUMIFS($S$43:$W$43,Sheet1!W58:AA58,"",$S$45:$W$45,"=0")-SUMIFS($S$43:$W$43,S53:W53,"",$S$45:$W$45,"=0")&gt;0,"Clear deltas with missing values","")))</f>
        <v/>
      </c>
      <c r="Y53" s="321"/>
      <c r="Z53" s="18"/>
      <c r="AA53" s="51"/>
      <c r="AB53" s="34"/>
      <c r="AC53" s="2"/>
    </row>
    <row r="54" spans="1:29" x14ac:dyDescent="0.2">
      <c r="A54" s="105"/>
      <c r="B54" s="298" t="str">
        <f>Sheet1!B59</f>
        <v>Control</v>
      </c>
      <c r="C54" s="298" t="str">
        <f>Sheet1!C59</f>
        <v>Courtney</v>
      </c>
      <c r="D54" s="299"/>
      <c r="E54" s="299"/>
      <c r="F54" s="299">
        <f>IF(F$45&lt;0,0,Sheet1!F59+SUMPRODUCT($F$45:$J$45,Sheet1!$F59:$J59))</f>
        <v>0</v>
      </c>
      <c r="G54" s="299">
        <f>IF(G$45&lt;0,0,Sheet1!G59+SUMPRODUCT($F$45:$J$45,Sheet1!$F59:$J59))</f>
        <v>0</v>
      </c>
      <c r="H54" s="299">
        <f>IF(H$45&lt;0,0,Sheet1!H59+SUMPRODUCT($F$45:$J$45,Sheet1!$F59:$J59))</f>
        <v>4.3499999999999659</v>
      </c>
      <c r="I54" s="299">
        <f>IF(I$45&lt;0,0,Sheet1!I59+SUMPRODUCT($F$45:$J$45,Sheet1!$F59:$J59))</f>
        <v>-1.6500000000000341</v>
      </c>
      <c r="J54" s="299">
        <f>IF(J$45&lt;0,0,Sheet1!J59+SUMPRODUCT($F$45:$J$45,Sheet1!$F59:$J59))</f>
        <v>6.8499999999999659</v>
      </c>
      <c r="K54" s="323" t="str">
        <f>IF(SUMIFS($F$43:$J$43,Sheet1!F59:J59,"",$F$45:$J$45,"&lt;0")&gt;0,IF(OR(SUMIFS($F$42:$J$42,F54:J54,"")=SUM($F$42:$J$42),SUMIFS($F$42:$J$42,F54:J54,"")=SUMIFS($F$42:$J$42,$F$45:$J$45,"=0")),"","Clear all deltas"),IF(SUMIFS($F$43:$J$43,Sheet1!F59:J59,"",$F$45:$J$45,"=0")-SUMIFS($F$43:$J$43,F54:J54,"",$F$45:$J$45,"=0")&gt;0,"Clear deltas with missing values",""))</f>
        <v/>
      </c>
      <c r="L54" s="316"/>
      <c r="M54" s="38"/>
      <c r="N54" s="105"/>
      <c r="O54" s="298" t="str">
        <f t="shared" si="32"/>
        <v>Control</v>
      </c>
      <c r="P54" s="298" t="str">
        <f t="shared" si="33"/>
        <v>Courtney</v>
      </c>
      <c r="Q54" s="299"/>
      <c r="R54" s="302"/>
      <c r="S54" s="303">
        <f>IF(S$45&lt;0,0,Sheet1!W59+SUMPRODUCT($F$45:$J$45,Sheet1!$W59:$AA59))</f>
        <v>0</v>
      </c>
      <c r="T54" s="303">
        <f>IF(T$45&lt;0,0,Sheet1!X59+SUMPRODUCT($F$45:$J$45,Sheet1!$W59:$AA59))</f>
        <v>0</v>
      </c>
      <c r="U54" s="303">
        <f>IF(U$45&lt;0,0,Sheet1!Y59+SUMPRODUCT($F$45:$J$45,Sheet1!$W59:$AA59))</f>
        <v>1.0872833630228342</v>
      </c>
      <c r="V54" s="303">
        <f>IF(V$45&lt;0,0,Sheet1!Z59+SUMPRODUCT($F$45:$J$45,Sheet1!$W59:$AA59))</f>
        <v>-0.41387067068956185</v>
      </c>
      <c r="W54" s="303">
        <f>IF(W$45&lt;0,0,Sheet1!AA59+SUMPRODUCT($F$45:$J$45,Sheet1!$W59:$AA59))</f>
        <v>1.7061738147348251</v>
      </c>
      <c r="X54" s="323" t="str">
        <f>IF(ISERROR(SUM(S54:W54)),"Clear #NUM! in Sheet1",IF(SUMIFS($S$43:$W$43,Sheet1!W59:AA59,"",$S$45:$W$45,"&lt;0")&gt;0,IF(OR(SUMIFS($S$42:$W$42,S54:W54,"")=SUM($S$42:$W$42),SUMIFS($S$42:$W$42,S54:W54,"")=SUMIFS($S$42:$W$42,$S$45:$W$45,"=0")),"","Clear all deltas"),IF(SUMIFS($S$43:$W$43,Sheet1!W59:AA59,"",$S$45:$W$45,"=0")-SUMIFS($S$43:$W$43,S54:W54,"",$S$45:$W$45,"=0")&gt;0,"Clear deltas with missing values","")))</f>
        <v/>
      </c>
      <c r="Y54" s="321"/>
      <c r="Z54" s="18"/>
      <c r="AA54" s="51"/>
      <c r="AB54" s="34"/>
      <c r="AC54" s="2"/>
    </row>
    <row r="55" spans="1:29" x14ac:dyDescent="0.2">
      <c r="A55" s="105"/>
      <c r="B55" s="298" t="str">
        <f>Sheet1!B60</f>
        <v>Control</v>
      </c>
      <c r="C55" s="298" t="str">
        <f>Sheet1!C60</f>
        <v>Devon</v>
      </c>
      <c r="D55" s="299"/>
      <c r="E55" s="299"/>
      <c r="F55" s="299">
        <f>IF(F$45&lt;0,0,Sheet1!F60+SUMPRODUCT($F$45:$J$45,Sheet1!$F60:$J60))</f>
        <v>0</v>
      </c>
      <c r="G55" s="299">
        <f>IF(G$45&lt;0,0,Sheet1!G60+SUMPRODUCT($F$45:$J$45,Sheet1!$F60:$J60))</f>
        <v>0</v>
      </c>
      <c r="H55" s="299">
        <f>IF(H$45&lt;0,0,Sheet1!H60+SUMPRODUCT($F$45:$J$45,Sheet1!$F60:$J60))</f>
        <v>15.199999999999989</v>
      </c>
      <c r="I55" s="299">
        <f>IF(I$45&lt;0,0,Sheet1!I60+SUMPRODUCT($F$45:$J$45,Sheet1!$F60:$J60))</f>
        <v>17.299999999999955</v>
      </c>
      <c r="J55" s="299">
        <f>IF(J$45&lt;0,0,Sheet1!J60+SUMPRODUCT($F$45:$J$45,Sheet1!$F60:$J60))</f>
        <v>7.8999999999999773</v>
      </c>
      <c r="K55" s="323" t="str">
        <f>IF(SUMIFS($F$43:$J$43,Sheet1!F60:J60,"",$F$45:$J$45,"&lt;0")&gt;0,IF(OR(SUMIFS($F$42:$J$42,F55:J55,"")=SUM($F$42:$J$42),SUMIFS($F$42:$J$42,F55:J55,"")=SUMIFS($F$42:$J$42,$F$45:$J$45,"=0")),"","Clear all deltas"),IF(SUMIFS($F$43:$J$43,Sheet1!F60:J60,"",$F$45:$J$45,"=0")-SUMIFS($F$43:$J$43,F55:J55,"",$F$45:$J$45,"=0")&gt;0,"Clear deltas with missing values",""))</f>
        <v/>
      </c>
      <c r="L55" s="316"/>
      <c r="M55" s="38"/>
      <c r="N55" s="105"/>
      <c r="O55" s="298" t="str">
        <f t="shared" si="32"/>
        <v>Control</v>
      </c>
      <c r="P55" s="298" t="str">
        <f t="shared" si="33"/>
        <v>Devon</v>
      </c>
      <c r="Q55" s="299"/>
      <c r="R55" s="302"/>
      <c r="S55" s="303">
        <f>IF(S$45&lt;0,0,Sheet1!W60+SUMPRODUCT($F$45:$J$45,Sheet1!$W60:$AA60))</f>
        <v>0</v>
      </c>
      <c r="T55" s="303">
        <f>IF(T$45&lt;0,0,Sheet1!X60+SUMPRODUCT($F$45:$J$45,Sheet1!$W60:$AA60))</f>
        <v>0</v>
      </c>
      <c r="U55" s="303">
        <f>IF(U$45&lt;0,0,Sheet1!Y60+SUMPRODUCT($F$45:$J$45,Sheet1!$W60:$AA60))</f>
        <v>3.7735761401753507</v>
      </c>
      <c r="V55" s="303">
        <f>IF(V$45&lt;0,0,Sheet1!Z60+SUMPRODUCT($F$45:$J$45,Sheet1!$W60:$AA60))</f>
        <v>4.2822365562751656</v>
      </c>
      <c r="W55" s="303">
        <f>IF(W$45&lt;0,0,Sheet1!AA60+SUMPRODUCT($F$45:$J$45,Sheet1!$W60:$AA60))</f>
        <v>1.9849703306610991</v>
      </c>
      <c r="X55" s="323" t="str">
        <f>IF(ISERROR(SUM(S55:W55)),"Clear #NUM! in Sheet1",IF(SUMIFS($S$43:$W$43,Sheet1!W60:AA60,"",$S$45:$W$45,"&lt;0")&gt;0,IF(OR(SUMIFS($S$42:$W$42,S55:W55,"")=SUM($S$42:$W$42),SUMIFS($S$42:$W$42,S55:W55,"")=SUMIFS($S$42:$W$42,$S$45:$W$45,"=0")),"","Clear all deltas"),IF(SUMIFS($S$43:$W$43,Sheet1!W60:AA60,"",$S$45:$W$45,"=0")-SUMIFS($S$43:$W$43,S55:W55,"",$S$45:$W$45,"=0")&gt;0,"Clear deltas with missing values","")))</f>
        <v/>
      </c>
      <c r="Y55" s="321"/>
      <c r="Z55" s="18"/>
      <c r="AA55" s="51"/>
      <c r="AB55" s="34"/>
      <c r="AC55" s="2"/>
    </row>
    <row r="56" spans="1:29" x14ac:dyDescent="0.2">
      <c r="A56" s="105"/>
      <c r="B56" s="298" t="str">
        <f>Sheet1!B61</f>
        <v>Control</v>
      </c>
      <c r="C56" s="298" t="str">
        <f>Sheet1!C61</f>
        <v>Drew</v>
      </c>
      <c r="D56" s="299"/>
      <c r="E56" s="299"/>
      <c r="F56" s="299">
        <f>IF(F$45&lt;0,0,Sheet1!F61+SUMPRODUCT($F$45:$J$45,Sheet1!$F61:$J61))</f>
        <v>0</v>
      </c>
      <c r="G56" s="299">
        <f>IF(G$45&lt;0,0,Sheet1!G61+SUMPRODUCT($F$45:$J$45,Sheet1!$F61:$J61))</f>
        <v>0</v>
      </c>
      <c r="H56" s="299">
        <f>IF(H$45&lt;0,0,Sheet1!H61+SUMPRODUCT($F$45:$J$45,Sheet1!$F61:$J61))</f>
        <v>7.1999999999999886</v>
      </c>
      <c r="I56" s="299">
        <f>IF(I$45&lt;0,0,Sheet1!I61+SUMPRODUCT($F$45:$J$45,Sheet1!$F61:$J61))</f>
        <v>-9.5</v>
      </c>
      <c r="J56" s="299">
        <f>IF(J$45&lt;0,0,Sheet1!J61+SUMPRODUCT($F$45:$J$45,Sheet1!$F61:$J61))</f>
        <v>0.19999999999998863</v>
      </c>
      <c r="K56" s="323" t="str">
        <f>IF(SUMIFS($F$43:$J$43,Sheet1!F61:J61,"",$F$45:$J$45,"&lt;0")&gt;0,IF(OR(SUMIFS($F$42:$J$42,F56:J56,"")=SUM($F$42:$J$42),SUMIFS($F$42:$J$42,F56:J56,"")=SUMIFS($F$42:$J$42,$F$45:$J$45,"=0")),"","Clear all deltas"),IF(SUMIFS($F$43:$J$43,Sheet1!F61:J61,"",$F$45:$J$45,"=0")-SUMIFS($F$43:$J$43,F56:J56,"",$F$45:$J$45,"=0")&gt;0,"Clear deltas with missing values",""))</f>
        <v/>
      </c>
      <c r="L56" s="316"/>
      <c r="M56" s="38"/>
      <c r="N56" s="105"/>
      <c r="O56" s="298" t="str">
        <f t="shared" si="32"/>
        <v>Control</v>
      </c>
      <c r="P56" s="298" t="str">
        <f t="shared" si="33"/>
        <v>Drew</v>
      </c>
      <c r="Q56" s="299"/>
      <c r="R56" s="302"/>
      <c r="S56" s="303">
        <f>IF(S$45&lt;0,0,Sheet1!W61+SUMPRODUCT($F$45:$J$45,Sheet1!$W61:$AA61))</f>
        <v>0</v>
      </c>
      <c r="T56" s="303">
        <f>IF(T$45&lt;0,0,Sheet1!X61+SUMPRODUCT($F$45:$J$45,Sheet1!$W61:$AA61))</f>
        <v>0</v>
      </c>
      <c r="U56" s="303">
        <f>IF(U$45&lt;0,0,Sheet1!Y61+SUMPRODUCT($F$45:$J$45,Sheet1!$W61:$AA61))</f>
        <v>1.7309051155459656</v>
      </c>
      <c r="V56" s="303">
        <f>IF(V$45&lt;0,0,Sheet1!Z61+SUMPRODUCT($F$45:$J$45,Sheet1!$W61:$AA61))</f>
        <v>-2.3235402376157026</v>
      </c>
      <c r="W56" s="303">
        <f>IF(W$45&lt;0,0,Sheet1!AA61+SUMPRODUCT($F$45:$J$45,Sheet1!$W61:$AA61))</f>
        <v>5.1403066207512893E-2</v>
      </c>
      <c r="X56" s="323" t="str">
        <f>IF(ISERROR(SUM(S56:W56)),"Clear #NUM! in Sheet1",IF(SUMIFS($S$43:$W$43,Sheet1!W61:AA61,"",$S$45:$W$45,"&lt;0")&gt;0,IF(OR(SUMIFS($S$42:$W$42,S56:W56,"")=SUM($S$42:$W$42),SUMIFS($S$42:$W$42,S56:W56,"")=SUMIFS($S$42:$W$42,$S$45:$W$45,"=0")),"","Clear all deltas"),IF(SUMIFS($S$43:$W$43,Sheet1!W61:AA61,"",$S$45:$W$45,"=0")-SUMIFS($S$43:$W$43,S56:W56,"",$S$45:$W$45,"=0")&gt;0,"Clear deltas with missing values","")))</f>
        <v/>
      </c>
      <c r="Y56" s="321"/>
      <c r="Z56" s="18"/>
      <c r="AA56" s="51"/>
      <c r="AB56" s="34"/>
      <c r="AC56" s="2"/>
    </row>
    <row r="57" spans="1:29" x14ac:dyDescent="0.2">
      <c r="A57" s="105"/>
      <c r="B57" s="298" t="str">
        <f>Sheet1!B62</f>
        <v>Control</v>
      </c>
      <c r="C57" s="298" t="str">
        <f>Sheet1!C62</f>
        <v>Dylan</v>
      </c>
      <c r="D57" s="299"/>
      <c r="E57" s="299"/>
      <c r="F57" s="299">
        <f>IF(F$45&lt;0,0,Sheet1!F62+SUMPRODUCT($F$45:$J$45,Sheet1!$F62:$J62))</f>
        <v>0</v>
      </c>
      <c r="G57" s="299">
        <f>IF(G$45&lt;0,0,Sheet1!G62+SUMPRODUCT($F$45:$J$45,Sheet1!$F62:$J62))</f>
        <v>0</v>
      </c>
      <c r="H57" s="299">
        <f>IF(H$45&lt;0,0,Sheet1!H62+SUMPRODUCT($F$45:$J$45,Sheet1!$F62:$J62))</f>
        <v>6.1499999999999773</v>
      </c>
      <c r="I57" s="299">
        <f>IF(I$45&lt;0,0,Sheet1!I62+SUMPRODUCT($F$45:$J$45,Sheet1!$F62:$J62))</f>
        <v>7.3499999999999659</v>
      </c>
      <c r="J57" s="299">
        <f>IF(J$45&lt;0,0,Sheet1!J62+SUMPRODUCT($F$45:$J$45,Sheet1!$F62:$J62))</f>
        <v>3.9499999999999886</v>
      </c>
      <c r="K57" s="323" t="str">
        <f>IF(SUMIFS($F$43:$J$43,Sheet1!F62:J62,"",$F$45:$J$45,"&lt;0")&gt;0,IF(OR(SUMIFS($F$42:$J$42,F57:J57,"")=SUM($F$42:$J$42),SUMIFS($F$42:$J$42,F57:J57,"")=SUMIFS($F$42:$J$42,$F$45:$J$45,"=0")),"","Clear all deltas"),IF(SUMIFS($F$43:$J$43,Sheet1!F62:J62,"",$F$45:$J$45,"=0")-SUMIFS($F$43:$J$43,F57:J57,"",$F$45:$J$45,"=0")&gt;0,"Clear deltas with missing values",""))</f>
        <v/>
      </c>
      <c r="L57" s="316"/>
      <c r="M57" s="38"/>
      <c r="N57" s="105"/>
      <c r="O57" s="298" t="str">
        <f t="shared" si="32"/>
        <v>Control</v>
      </c>
      <c r="P57" s="298" t="str">
        <f t="shared" si="33"/>
        <v>Dylan</v>
      </c>
      <c r="Q57" s="299"/>
      <c r="R57" s="302"/>
      <c r="S57" s="303">
        <f>IF(S$45&lt;0,0,Sheet1!W62+SUMPRODUCT($F$45:$J$45,Sheet1!$W62:$AA62))</f>
        <v>0</v>
      </c>
      <c r="T57" s="303">
        <f>IF(T$45&lt;0,0,Sheet1!X62+SUMPRODUCT($F$45:$J$45,Sheet1!$W62:$AA62))</f>
        <v>0</v>
      </c>
      <c r="U57" s="303">
        <f>IF(U$45&lt;0,0,Sheet1!Y62+SUMPRODUCT($F$45:$J$45,Sheet1!$W62:$AA62))</f>
        <v>1.5133630845399466</v>
      </c>
      <c r="V57" s="303">
        <f>IF(V$45&lt;0,0,Sheet1!Z62+SUMPRODUCT($F$45:$J$45,Sheet1!$W62:$AA62))</f>
        <v>1.8052630728775512</v>
      </c>
      <c r="W57" s="303">
        <f>IF(W$45&lt;0,0,Sheet1!AA62+SUMPRODUCT($F$45:$J$45,Sheet1!$W62:$AA62))</f>
        <v>0.97599002784465938</v>
      </c>
      <c r="X57" s="323" t="str">
        <f>IF(ISERROR(SUM(S57:W57)),"Clear #NUM! in Sheet1",IF(SUMIFS($S$43:$W$43,Sheet1!W62:AA62,"",$S$45:$W$45,"&lt;0")&gt;0,IF(OR(SUMIFS($S$42:$W$42,S57:W57,"")=SUM($S$42:$W$42),SUMIFS($S$42:$W$42,S57:W57,"")=SUMIFS($S$42:$W$42,$S$45:$W$45,"=0")),"","Clear all deltas"),IF(SUMIFS($S$43:$W$43,Sheet1!W62:AA62,"",$S$45:$W$45,"=0")-SUMIFS($S$43:$W$43,S57:W57,"",$S$45:$W$45,"=0")&gt;0,"Clear deltas with missing values","")))</f>
        <v/>
      </c>
      <c r="Y57" s="321"/>
      <c r="Z57" s="18"/>
      <c r="AA57" s="51"/>
      <c r="AB57" s="34"/>
      <c r="AC57" s="2"/>
    </row>
    <row r="58" spans="1:29" x14ac:dyDescent="0.2">
      <c r="A58" s="105"/>
      <c r="B58" s="298" t="str">
        <f>Sheet1!B63</f>
        <v>Control</v>
      </c>
      <c r="C58" s="298" t="str">
        <f>Sheet1!C63</f>
        <v>Frances</v>
      </c>
      <c r="D58" s="299"/>
      <c r="E58" s="299"/>
      <c r="F58" s="299">
        <f>IF(F$45&lt;0,0,Sheet1!F63+SUMPRODUCT($F$45:$J$45,Sheet1!$F63:$J63))</f>
        <v>0</v>
      </c>
      <c r="G58" s="299">
        <f>IF(G$45&lt;0,0,Sheet1!G63+SUMPRODUCT($F$45:$J$45,Sheet1!$F63:$J63))</f>
        <v>0</v>
      </c>
      <c r="H58" s="299">
        <f>IF(H$45&lt;0,0,Sheet1!H63+SUMPRODUCT($F$45:$J$45,Sheet1!$F63:$J63))</f>
        <v>3.0499999999999545</v>
      </c>
      <c r="I58" s="299">
        <f>IF(I$45&lt;0,0,Sheet1!I63+SUMPRODUCT($F$45:$J$45,Sheet1!$F63:$J63))</f>
        <v>6.4499999999999886</v>
      </c>
      <c r="J58" s="299">
        <f>IF(J$45&lt;0,0,Sheet1!J63+SUMPRODUCT($F$45:$J$45,Sheet1!$F63:$J63))</f>
        <v>-6.8500000000000227</v>
      </c>
      <c r="K58" s="323" t="str">
        <f>IF(SUMIFS($F$43:$J$43,Sheet1!F63:J63,"",$F$45:$J$45,"&lt;0")&gt;0,IF(OR(SUMIFS($F$42:$J$42,F58:J58,"")=SUM($F$42:$J$42),SUMIFS($F$42:$J$42,F58:J58,"")=SUMIFS($F$42:$J$42,$F$45:$J$45,"=0")),"","Clear all deltas"),IF(SUMIFS($F$43:$J$43,Sheet1!F63:J63,"",$F$45:$J$45,"=0")-SUMIFS($F$43:$J$43,F58:J58,"",$F$45:$J$45,"=0")&gt;0,"Clear deltas with missing values",""))</f>
        <v/>
      </c>
      <c r="L58" s="316"/>
      <c r="M58" s="38"/>
      <c r="N58" s="105"/>
      <c r="O58" s="298" t="str">
        <f t="shared" si="32"/>
        <v>Control</v>
      </c>
      <c r="P58" s="298" t="str">
        <f t="shared" si="33"/>
        <v>Frances</v>
      </c>
      <c r="Q58" s="299"/>
      <c r="R58" s="302"/>
      <c r="S58" s="303">
        <f>IF(S$45&lt;0,0,Sheet1!W63+SUMPRODUCT($F$45:$J$45,Sheet1!$W63:$AA63))</f>
        <v>0</v>
      </c>
      <c r="T58" s="303">
        <f>IF(T$45&lt;0,0,Sheet1!X63+SUMPRODUCT($F$45:$J$45,Sheet1!$W63:$AA63))</f>
        <v>0</v>
      </c>
      <c r="U58" s="303">
        <f>IF(U$45&lt;0,0,Sheet1!Y63+SUMPRODUCT($F$45:$J$45,Sheet1!$W63:$AA63))</f>
        <v>0.78973784303559569</v>
      </c>
      <c r="V58" s="303">
        <f>IF(V$45&lt;0,0,Sheet1!Z63+SUMPRODUCT($F$45:$J$45,Sheet1!$W63:$AA63))</f>
        <v>1.6535643527410002</v>
      </c>
      <c r="W58" s="303">
        <f>IF(W$45&lt;0,0,Sheet1!AA63+SUMPRODUCT($F$45:$J$45,Sheet1!$W63:$AA63))</f>
        <v>-1.768871816865385</v>
      </c>
      <c r="X58" s="323" t="str">
        <f>IF(ISERROR(SUM(S58:W58)),"Clear #NUM! in Sheet1",IF(SUMIFS($S$43:$W$43,Sheet1!W63:AA63,"",$S$45:$W$45,"&lt;0")&gt;0,IF(OR(SUMIFS($S$42:$W$42,S58:W58,"")=SUM($S$42:$W$42),SUMIFS($S$42:$W$42,S58:W58,"")=SUMIFS($S$42:$W$42,$S$45:$W$45,"=0")),"","Clear all deltas"),IF(SUMIFS($S$43:$W$43,Sheet1!W63:AA63,"",$S$45:$W$45,"=0")-SUMIFS($S$43:$W$43,S58:W58,"",$S$45:$W$45,"=0")&gt;0,"Clear deltas with missing values","")))</f>
        <v/>
      </c>
      <c r="Y58" s="321"/>
      <c r="Z58" s="18"/>
      <c r="AA58" s="51"/>
      <c r="AB58" s="34"/>
      <c r="AC58" s="2"/>
    </row>
    <row r="59" spans="1:29" x14ac:dyDescent="0.2">
      <c r="A59" s="105"/>
      <c r="B59" s="298" t="str">
        <f>Sheet1!B64</f>
        <v>Control</v>
      </c>
      <c r="C59" s="298" t="str">
        <f>Sheet1!C64</f>
        <v>Gene</v>
      </c>
      <c r="D59" s="299"/>
      <c r="E59" s="299"/>
      <c r="F59" s="299">
        <f>IF(F$45&lt;0,0,Sheet1!F64+SUMPRODUCT($F$45:$J$45,Sheet1!$F64:$J64))</f>
        <v>0</v>
      </c>
      <c r="G59" s="299">
        <f>IF(G$45&lt;0,0,Sheet1!G64+SUMPRODUCT($F$45:$J$45,Sheet1!$F64:$J64))</f>
        <v>0</v>
      </c>
      <c r="H59" s="299">
        <f>IF(H$45&lt;0,0,Sheet1!H64+SUMPRODUCT($F$45:$J$45,Sheet1!$F64:$J64))</f>
        <v>-5.7999999999999545</v>
      </c>
      <c r="I59" s="299">
        <f>IF(I$45&lt;0,0,Sheet1!I64+SUMPRODUCT($F$45:$J$45,Sheet1!$F64:$J64))</f>
        <v>-6.8999999999999773</v>
      </c>
      <c r="J59" s="299">
        <f>IF(J$45&lt;0,0,Sheet1!J64+SUMPRODUCT($F$45:$J$45,Sheet1!$F64:$J64))</f>
        <v>-7.2999999999999545</v>
      </c>
      <c r="K59" s="323" t="str">
        <f>IF(SUMIFS($F$43:$J$43,Sheet1!F64:J64,"",$F$45:$J$45,"&lt;0")&gt;0,IF(OR(SUMIFS($F$42:$J$42,F59:J59,"")=SUM($F$42:$J$42),SUMIFS($F$42:$J$42,F59:J59,"")=SUMIFS($F$42:$J$42,$F$45:$J$45,"=0")),"","Clear all deltas"),IF(SUMIFS($F$43:$J$43,Sheet1!F64:J64,"",$F$45:$J$45,"=0")-SUMIFS($F$43:$J$43,F59:J59,"",$F$45:$J$45,"=0")&gt;0,"Clear deltas with missing values",""))</f>
        <v/>
      </c>
      <c r="L59" s="316"/>
      <c r="M59" s="38"/>
      <c r="N59" s="105"/>
      <c r="O59" s="298" t="str">
        <f t="shared" si="32"/>
        <v>Control</v>
      </c>
      <c r="P59" s="298" t="str">
        <f t="shared" si="33"/>
        <v>Gene</v>
      </c>
      <c r="Q59" s="299"/>
      <c r="R59" s="302"/>
      <c r="S59" s="303">
        <f>IF(S$45&lt;0,0,Sheet1!W64+SUMPRODUCT($F$45:$J$45,Sheet1!$W64:$AA64))</f>
        <v>0</v>
      </c>
      <c r="T59" s="303">
        <f>IF(T$45&lt;0,0,Sheet1!X64+SUMPRODUCT($F$45:$J$45,Sheet1!$W64:$AA64))</f>
        <v>0</v>
      </c>
      <c r="U59" s="303">
        <f>IF(U$45&lt;0,0,Sheet1!Y64+SUMPRODUCT($F$45:$J$45,Sheet1!$W64:$AA64))</f>
        <v>-1.4301654507328294</v>
      </c>
      <c r="V59" s="303">
        <f>IF(V$45&lt;0,0,Sheet1!Z64+SUMPRODUCT($F$45:$J$45,Sheet1!$W64:$AA64))</f>
        <v>-1.7037634326203488</v>
      </c>
      <c r="W59" s="303">
        <f>IF(W$45&lt;0,0,Sheet1!AA64+SUMPRODUCT($F$45:$J$45,Sheet1!$W64:$AA64))</f>
        <v>-1.8034394937012621</v>
      </c>
      <c r="X59" s="323" t="str">
        <f>IF(ISERROR(SUM(S59:W59)),"Clear #NUM! in Sheet1",IF(SUMIFS($S$43:$W$43,Sheet1!W64:AA64,"",$S$45:$W$45,"&lt;0")&gt;0,IF(OR(SUMIFS($S$42:$W$42,S59:W59,"")=SUM($S$42:$W$42),SUMIFS($S$42:$W$42,S59:W59,"")=SUMIFS($S$42:$W$42,$S$45:$W$45,"=0")),"","Clear all deltas"),IF(SUMIFS($S$43:$W$43,Sheet1!W64:AA64,"",$S$45:$W$45,"=0")-SUMIFS($S$43:$W$43,S59:W59,"",$S$45:$W$45,"=0")&gt;0,"Clear deltas with missing values","")))</f>
        <v/>
      </c>
      <c r="Y59" s="321"/>
      <c r="Z59" s="18"/>
      <c r="AA59" s="51"/>
      <c r="AB59" s="34"/>
      <c r="AC59" s="2"/>
    </row>
    <row r="60" spans="1:29" x14ac:dyDescent="0.2">
      <c r="A60" s="105"/>
      <c r="B60" s="298" t="str">
        <f>Sheet1!B65</f>
        <v>Control</v>
      </c>
      <c r="C60" s="298" t="str">
        <f>Sheet1!C65</f>
        <v>Jaimie</v>
      </c>
      <c r="D60" s="299"/>
      <c r="E60" s="299"/>
      <c r="F60" s="299">
        <f>IF(F$45&lt;0,0,Sheet1!F65+SUMPRODUCT($F$45:$J$45,Sheet1!$F65:$J65))</f>
        <v>0</v>
      </c>
      <c r="G60" s="299">
        <f>IF(G$45&lt;0,0,Sheet1!G65+SUMPRODUCT($F$45:$J$45,Sheet1!$F65:$J65))</f>
        <v>0</v>
      </c>
      <c r="H60" s="299">
        <f>IF(H$45&lt;0,0,Sheet1!H65+SUMPRODUCT($F$45:$J$45,Sheet1!$F65:$J65))</f>
        <v>-11.949999999999989</v>
      </c>
      <c r="I60" s="299">
        <f>IF(I$45&lt;0,0,Sheet1!I65+SUMPRODUCT($F$45:$J$45,Sheet1!$F65:$J65))</f>
        <v>0.45000000000004547</v>
      </c>
      <c r="J60" s="299">
        <f>IF(J$45&lt;0,0,Sheet1!J65+SUMPRODUCT($F$45:$J$45,Sheet1!$F65:$J65))</f>
        <v>7.1500000000000341</v>
      </c>
      <c r="K60" s="323" t="str">
        <f>IF(SUMIFS($F$43:$J$43,Sheet1!F65:J65,"",$F$45:$J$45,"&lt;0")&gt;0,IF(OR(SUMIFS($F$42:$J$42,F60:J60,"")=SUM($F$42:$J$42),SUMIFS($F$42:$J$42,F60:J60,"")=SUMIFS($F$42:$J$42,$F$45:$J$45,"=0")),"","Clear all deltas"),IF(SUMIFS($F$43:$J$43,Sheet1!F65:J65,"",$F$45:$J$45,"=0")-SUMIFS($F$43:$J$43,F60:J60,"",$F$45:$J$45,"=0")&gt;0,"Clear deltas with missing values",""))</f>
        <v/>
      </c>
      <c r="L60" s="316"/>
      <c r="M60" s="38"/>
      <c r="N60" s="105"/>
      <c r="O60" s="298" t="str">
        <f t="shared" si="32"/>
        <v>Control</v>
      </c>
      <c r="P60" s="298" t="str">
        <f t="shared" si="33"/>
        <v>Jaimie</v>
      </c>
      <c r="Q60" s="299"/>
      <c r="R60" s="302"/>
      <c r="S60" s="303">
        <f>IF(S$45&lt;0,0,Sheet1!W65+SUMPRODUCT($F$45:$J$45,Sheet1!$W65:$AA65))</f>
        <v>0</v>
      </c>
      <c r="T60" s="303">
        <f>IF(T$45&lt;0,0,Sheet1!X65+SUMPRODUCT($F$45:$J$45,Sheet1!$W65:$AA65))</f>
        <v>0</v>
      </c>
      <c r="U60" s="303">
        <f>IF(U$45&lt;0,0,Sheet1!Y65+SUMPRODUCT($F$45:$J$45,Sheet1!$W65:$AA65))</f>
        <v>-3.1056469996623264</v>
      </c>
      <c r="V60" s="303">
        <f>IF(V$45&lt;0,0,Sheet1!Z65+SUMPRODUCT($F$45:$J$45,Sheet1!$W65:$AA65))</f>
        <v>0.11624768570959532</v>
      </c>
      <c r="W60" s="303">
        <f>IF(W$45&lt;0,0,Sheet1!AA65+SUMPRODUCT($F$45:$J$45,Sheet1!$W65:$AA65))</f>
        <v>1.8148561515498614</v>
      </c>
      <c r="X60" s="323" t="str">
        <f>IF(ISERROR(SUM(S60:W60)),"Clear #NUM! in Sheet1",IF(SUMIFS($S$43:$W$43,Sheet1!W65:AA65,"",$S$45:$W$45,"&lt;0")&gt;0,IF(OR(SUMIFS($S$42:$W$42,S60:W60,"")=SUM($S$42:$W$42),SUMIFS($S$42:$W$42,S60:W60,"")=SUMIFS($S$42:$W$42,$S$45:$W$45,"=0")),"","Clear all deltas"),IF(SUMIFS($S$43:$W$43,Sheet1!W65:AA65,"",$S$45:$W$45,"=0")-SUMIFS($S$43:$W$43,S60:W60,"",$S$45:$W$45,"=0")&gt;0,"Clear deltas with missing values","")))</f>
        <v/>
      </c>
      <c r="Y60" s="321"/>
      <c r="Z60" s="18"/>
      <c r="AA60" s="51"/>
      <c r="AB60" s="34"/>
      <c r="AC60" s="2"/>
    </row>
    <row r="61" spans="1:29" x14ac:dyDescent="0.2">
      <c r="A61" s="105"/>
      <c r="B61" s="298" t="str">
        <f>Sheet1!B66</f>
        <v>Control</v>
      </c>
      <c r="C61" s="298" t="str">
        <f>Sheet1!C66</f>
        <v>Jean</v>
      </c>
      <c r="D61" s="299"/>
      <c r="E61" s="299"/>
      <c r="F61" s="299">
        <f>IF(F$45&lt;0,0,Sheet1!F66+SUMPRODUCT($F$45:$J$45,Sheet1!$F66:$J66))</f>
        <v>0</v>
      </c>
      <c r="G61" s="299">
        <f>IF(G$45&lt;0,0,Sheet1!G66+SUMPRODUCT($F$45:$J$45,Sheet1!$F66:$J66))</f>
        <v>0</v>
      </c>
      <c r="H61" s="299">
        <f>IF(H$45&lt;0,0,Sheet1!H66+SUMPRODUCT($F$45:$J$45,Sheet1!$F66:$J66))</f>
        <v>14.400000000000034</v>
      </c>
      <c r="I61" s="299">
        <f>IF(I$45&lt;0,0,Sheet1!I66+SUMPRODUCT($F$45:$J$45,Sheet1!$F66:$J66))</f>
        <v>5.4000000000000341</v>
      </c>
      <c r="J61" s="299">
        <f>IF(J$45&lt;0,0,Sheet1!J66+SUMPRODUCT($F$45:$J$45,Sheet1!$F66:$J66))</f>
        <v>15.5</v>
      </c>
      <c r="K61" s="323" t="str">
        <f>IF(SUMIFS($F$43:$J$43,Sheet1!F66:J66,"",$F$45:$J$45,"&lt;0")&gt;0,IF(OR(SUMIFS($F$42:$J$42,F61:J61,"")=SUM($F$42:$J$42),SUMIFS($F$42:$J$42,F61:J61,"")=SUMIFS($F$42:$J$42,$F$45:$J$45,"=0")),"","Clear all deltas"),IF(SUMIFS($F$43:$J$43,Sheet1!F66:J66,"",$F$45:$J$45,"=0")-SUMIFS($F$43:$J$43,F61:J61,"",$F$45:$J$45,"=0")&gt;0,"Clear deltas with missing values",""))</f>
        <v/>
      </c>
      <c r="L61" s="316"/>
      <c r="M61" s="38"/>
      <c r="N61" s="105"/>
      <c r="O61" s="298" t="str">
        <f t="shared" si="32"/>
        <v>Control</v>
      </c>
      <c r="P61" s="298" t="str">
        <f t="shared" si="33"/>
        <v>Jean</v>
      </c>
      <c r="Q61" s="299"/>
      <c r="R61" s="302"/>
      <c r="S61" s="303">
        <f>IF(S$45&lt;0,0,Sheet1!W66+SUMPRODUCT($F$45:$J$45,Sheet1!$W66:$AA66))</f>
        <v>0</v>
      </c>
      <c r="T61" s="303">
        <f>IF(T$45&lt;0,0,Sheet1!X66+SUMPRODUCT($F$45:$J$45,Sheet1!$W66:$AA66))</f>
        <v>0</v>
      </c>
      <c r="U61" s="303">
        <f>IF(U$45&lt;0,0,Sheet1!Y66+SUMPRODUCT($F$45:$J$45,Sheet1!$W66:$AA66))</f>
        <v>3.5859831159041278</v>
      </c>
      <c r="V61" s="303">
        <f>IF(V$45&lt;0,0,Sheet1!Z66+SUMPRODUCT($F$45:$J$45,Sheet1!$W66:$AA66))</f>
        <v>1.3642180665460728</v>
      </c>
      <c r="W61" s="303">
        <f>IF(W$45&lt;0,0,Sheet1!AA66+SUMPRODUCT($F$45:$J$45,Sheet1!$W66:$AA66))</f>
        <v>3.8541778396255495</v>
      </c>
      <c r="X61" s="323" t="str">
        <f>IF(ISERROR(SUM(S61:W61)),"Clear #NUM! in Sheet1",IF(SUMIFS($S$43:$W$43,Sheet1!W66:AA66,"",$S$45:$W$45,"&lt;0")&gt;0,IF(OR(SUMIFS($S$42:$W$42,S61:W61,"")=SUM($S$42:$W$42),SUMIFS($S$42:$W$42,S61:W61,"")=SUMIFS($S$42:$W$42,$S$45:$W$45,"=0")),"","Clear all deltas"),IF(SUMIFS($S$43:$W$43,Sheet1!W66:AA66,"",$S$45:$W$45,"=0")-SUMIFS($S$43:$W$43,S61:W61,"",$S$45:$W$45,"=0")&gt;0,"Clear deltas with missing values","")))</f>
        <v/>
      </c>
      <c r="Y61" s="321"/>
      <c r="Z61" s="18"/>
      <c r="AA61" s="51"/>
      <c r="AB61" s="34"/>
      <c r="AC61" s="2"/>
    </row>
    <row r="62" spans="1:29" x14ac:dyDescent="0.2">
      <c r="A62" s="105"/>
      <c r="B62" s="298" t="str">
        <f>Sheet1!B67</f>
        <v>Control</v>
      </c>
      <c r="C62" s="298" t="str">
        <f>Sheet1!C67</f>
        <v>Jesse</v>
      </c>
      <c r="D62" s="299"/>
      <c r="E62" s="299"/>
      <c r="F62" s="299">
        <f>IF(F$45&lt;0,0,Sheet1!F67+SUMPRODUCT($F$45:$J$45,Sheet1!$F67:$J67))</f>
        <v>0</v>
      </c>
      <c r="G62" s="299">
        <f>IF(G$45&lt;0,0,Sheet1!G67+SUMPRODUCT($F$45:$J$45,Sheet1!$F67:$J67))</f>
        <v>0</v>
      </c>
      <c r="H62" s="299">
        <f>IF(H$45&lt;0,0,Sheet1!H67+SUMPRODUCT($F$45:$J$45,Sheet1!$F67:$J67))</f>
        <v>-5.9500000000000455</v>
      </c>
      <c r="I62" s="299">
        <f>IF(I$45&lt;0,0,Sheet1!I67+SUMPRODUCT($F$45:$J$45,Sheet1!$F67:$J67))</f>
        <v>-8.0500000000000682</v>
      </c>
      <c r="J62" s="299">
        <f>IF(J$45&lt;0,0,Sheet1!J67+SUMPRODUCT($F$45:$J$45,Sheet1!$F67:$J67))</f>
        <v>5.6499999999999773</v>
      </c>
      <c r="K62" s="323" t="str">
        <f>IF(SUMIFS($F$43:$J$43,Sheet1!F67:J67,"",$F$45:$J$45,"&lt;0")&gt;0,IF(OR(SUMIFS($F$42:$J$42,F62:J62,"")=SUM($F$42:$J$42),SUMIFS($F$42:$J$42,F62:J62,"")=SUMIFS($F$42:$J$42,$F$45:$J$45,"=0")),"","Clear all deltas"),IF(SUMIFS($F$43:$J$43,Sheet1!F67:J67,"",$F$45:$J$45,"=0")-SUMIFS($F$43:$J$43,F62:J62,"",$F$45:$J$45,"=0")&gt;0,"Clear deltas with missing values",""))</f>
        <v/>
      </c>
      <c r="L62" s="316"/>
      <c r="M62" s="38"/>
      <c r="N62" s="105"/>
      <c r="O62" s="298" t="str">
        <f t="shared" si="32"/>
        <v>Control</v>
      </c>
      <c r="P62" s="298" t="str">
        <f t="shared" si="33"/>
        <v>Jesse</v>
      </c>
      <c r="Q62" s="299"/>
      <c r="R62" s="302"/>
      <c r="S62" s="303">
        <f>IF(S$45&lt;0,0,Sheet1!W67+SUMPRODUCT($F$45:$J$45,Sheet1!$W67:$AA67))</f>
        <v>0</v>
      </c>
      <c r="T62" s="303">
        <f>IF(T$45&lt;0,0,Sheet1!X67+SUMPRODUCT($F$45:$J$45,Sheet1!$W67:$AA67))</f>
        <v>0</v>
      </c>
      <c r="U62" s="303">
        <f>IF(U$45&lt;0,0,Sheet1!Y67+SUMPRODUCT($F$45:$J$45,Sheet1!$W67:$AA67))</f>
        <v>-1.4143307413798993</v>
      </c>
      <c r="V62" s="303">
        <f>IF(V$45&lt;0,0,Sheet1!Z67+SUMPRODUCT($F$45:$J$45,Sheet1!$W67:$AA67))</f>
        <v>-1.9185940262698296</v>
      </c>
      <c r="W62" s="303">
        <f>IF(W$45&lt;0,0,Sheet1!AA67+SUMPRODUCT($F$45:$J$45,Sheet1!$W67:$AA67))</f>
        <v>1.3262140292769118</v>
      </c>
      <c r="X62" s="323" t="str">
        <f>IF(ISERROR(SUM(S62:W62)),"Clear #NUM! in Sheet1",IF(SUMIFS($S$43:$W$43,Sheet1!W67:AA67,"",$S$45:$W$45,"&lt;0")&gt;0,IF(OR(SUMIFS($S$42:$W$42,S62:W62,"")=SUM($S$42:$W$42),SUMIFS($S$42:$W$42,S62:W62,"")=SUMIFS($S$42:$W$42,$S$45:$W$45,"=0")),"","Clear all deltas"),IF(SUMIFS($S$43:$W$43,Sheet1!W67:AA67,"",$S$45:$W$45,"=0")-SUMIFS($S$43:$W$43,S62:W62,"",$S$45:$W$45,"=0")&gt;0,"Clear deltas with missing values","")))</f>
        <v/>
      </c>
      <c r="Y62" s="321"/>
      <c r="Z62" s="18"/>
      <c r="AA62" s="51"/>
      <c r="AB62" s="34"/>
      <c r="AC62" s="2"/>
    </row>
    <row r="63" spans="1:29" x14ac:dyDescent="0.2">
      <c r="A63" s="105"/>
      <c r="B63" s="298" t="str">
        <f>Sheet1!B68</f>
        <v>Control</v>
      </c>
      <c r="C63" s="298" t="str">
        <f>Sheet1!C68</f>
        <v>Jo</v>
      </c>
      <c r="D63" s="299"/>
      <c r="E63" s="299"/>
      <c r="F63" s="299">
        <f>IF(F$45&lt;0,0,Sheet1!F68+SUMPRODUCT($F$45:$J$45,Sheet1!$F68:$J68))</f>
        <v>0</v>
      </c>
      <c r="G63" s="299">
        <f>IF(G$45&lt;0,0,Sheet1!G68+SUMPRODUCT($F$45:$J$45,Sheet1!$F68:$J68))</f>
        <v>0</v>
      </c>
      <c r="H63" s="299">
        <f>IF(H$45&lt;0,0,Sheet1!H68+SUMPRODUCT($F$45:$J$45,Sheet1!$F68:$J68))</f>
        <v>-1.0500000000000114</v>
      </c>
      <c r="I63" s="299">
        <f>IF(I$45&lt;0,0,Sheet1!I68+SUMPRODUCT($F$45:$J$45,Sheet1!$F68:$J68))</f>
        <v>-0.55000000000001137</v>
      </c>
      <c r="J63" s="299">
        <f>IF(J$45&lt;0,0,Sheet1!J68+SUMPRODUCT($F$45:$J$45,Sheet1!$F68:$J68))</f>
        <v>-6.25</v>
      </c>
      <c r="K63" s="323" t="str">
        <f>IF(SUMIFS($F$43:$J$43,Sheet1!F68:J68,"",$F$45:$J$45,"&lt;0")&gt;0,IF(OR(SUMIFS($F$42:$J$42,F63:J63,"")=SUM($F$42:$J$42),SUMIFS($F$42:$J$42,F63:J63,"")=SUMIFS($F$42:$J$42,$F$45:$J$45,"=0")),"","Clear all deltas"),IF(SUMIFS($F$43:$J$43,Sheet1!F68:J68,"",$F$45:$J$45,"=0")-SUMIFS($F$43:$J$43,F63:J63,"",$F$45:$J$45,"=0")&gt;0,"Clear deltas with missing values",""))</f>
        <v/>
      </c>
      <c r="L63" s="316"/>
      <c r="M63" s="38"/>
      <c r="N63" s="105"/>
      <c r="O63" s="298" t="str">
        <f t="shared" si="32"/>
        <v>Control</v>
      </c>
      <c r="P63" s="298" t="str">
        <f t="shared" si="33"/>
        <v>Jo</v>
      </c>
      <c r="Q63" s="299"/>
      <c r="R63" s="302"/>
      <c r="S63" s="303">
        <f>IF(S$45&lt;0,0,Sheet1!W68+SUMPRODUCT($F$45:$J$45,Sheet1!$W68:$AA68))</f>
        <v>0</v>
      </c>
      <c r="T63" s="303">
        <f>IF(T$45&lt;0,0,Sheet1!X68+SUMPRODUCT($F$45:$J$45,Sheet1!$W68:$AA68))</f>
        <v>0</v>
      </c>
      <c r="U63" s="303">
        <f>IF(U$45&lt;0,0,Sheet1!Y68+SUMPRODUCT($F$45:$J$45,Sheet1!$W68:$AA68))</f>
        <v>-0.26213190319970181</v>
      </c>
      <c r="V63" s="303">
        <f>IF(V$45&lt;0,0,Sheet1!Z68+SUMPRODUCT($F$45:$J$45,Sheet1!$W68:$AA68))</f>
        <v>-0.13414007720245991</v>
      </c>
      <c r="W63" s="303">
        <f>IF(W$45&lt;0,0,Sheet1!AA68+SUMPRODUCT($F$45:$J$45,Sheet1!$W68:$AA68))</f>
        <v>-1.6030493646962896</v>
      </c>
      <c r="X63" s="323" t="str">
        <f>IF(ISERROR(SUM(S63:W63)),"Clear #NUM! in Sheet1",IF(SUMIFS($S$43:$W$43,Sheet1!W68:AA68,"",$S$45:$W$45,"&lt;0")&gt;0,IF(OR(SUMIFS($S$42:$W$42,S63:W63,"")=SUM($S$42:$W$42),SUMIFS($S$42:$W$42,S63:W63,"")=SUMIFS($S$42:$W$42,$S$45:$W$45,"=0")),"","Clear all deltas"),IF(SUMIFS($S$43:$W$43,Sheet1!W68:AA68,"",$S$45:$W$45,"=0")-SUMIFS($S$43:$W$43,S63:W63,"",$S$45:$W$45,"=0")&gt;0,"Clear deltas with missing values","")))</f>
        <v/>
      </c>
      <c r="Y63" s="321"/>
      <c r="Z63" s="18"/>
      <c r="AA63" s="51"/>
      <c r="AB63" s="34"/>
      <c r="AC63" s="2"/>
    </row>
    <row r="64" spans="1:29" x14ac:dyDescent="0.2">
      <c r="A64" s="105"/>
      <c r="B64" s="298" t="str">
        <f>Sheet1!B69</f>
        <v>Control</v>
      </c>
      <c r="C64" s="298" t="str">
        <f>Sheet1!C69</f>
        <v xml:space="preserve">Jody </v>
      </c>
      <c r="D64" s="299"/>
      <c r="E64" s="299"/>
      <c r="F64" s="299">
        <f>IF(F$45&lt;0,0,Sheet1!F69+SUMPRODUCT($F$45:$J$45,Sheet1!$F69:$J69))</f>
        <v>0</v>
      </c>
      <c r="G64" s="299">
        <f>IF(G$45&lt;0,0,Sheet1!G69+SUMPRODUCT($F$45:$J$45,Sheet1!$F69:$J69))</f>
        <v>0</v>
      </c>
      <c r="H64" s="299">
        <f>IF(H$45&lt;0,0,Sheet1!H69+SUMPRODUCT($F$45:$J$45,Sheet1!$F69:$J69))</f>
        <v>1</v>
      </c>
      <c r="I64" s="299">
        <f>IF(I$45&lt;0,0,Sheet1!I69+SUMPRODUCT($F$45:$J$45,Sheet1!$F69:$J69))</f>
        <v>10.899999999999977</v>
      </c>
      <c r="J64" s="299">
        <f>IF(J$45&lt;0,0,Sheet1!J69+SUMPRODUCT($F$45:$J$45,Sheet1!$F69:$J69))</f>
        <v>6.5</v>
      </c>
      <c r="K64" s="323" t="str">
        <f>IF(SUMIFS($F$43:$J$43,Sheet1!F69:J69,"",$F$45:$J$45,"&lt;0")&gt;0,IF(OR(SUMIFS($F$42:$J$42,F64:J64,"")=SUM($F$42:$J$42),SUMIFS($F$42:$J$42,F64:J64,"")=SUMIFS($F$42:$J$42,$F$45:$J$45,"=0")),"","Clear all deltas"),IF(SUMIFS($F$43:$J$43,Sheet1!F69:J69,"",$F$45:$J$45,"=0")-SUMIFS($F$43:$J$43,F64:J64,"",$F$45:$J$45,"=0")&gt;0,"Clear deltas with missing values",""))</f>
        <v/>
      </c>
      <c r="L64" s="317"/>
      <c r="M64" s="38"/>
      <c r="N64" s="105"/>
      <c r="O64" s="298" t="str">
        <f t="shared" si="32"/>
        <v>Control</v>
      </c>
      <c r="P64" s="298" t="str">
        <f t="shared" si="33"/>
        <v xml:space="preserve">Jody </v>
      </c>
      <c r="Q64" s="299"/>
      <c r="R64" s="302"/>
      <c r="S64" s="303">
        <f>IF(S$45&lt;0,0,Sheet1!W69+SUMPRODUCT($F$45:$J$45,Sheet1!$W69:$AA69))</f>
        <v>0</v>
      </c>
      <c r="T64" s="303">
        <f>IF(T$45&lt;0,0,Sheet1!X69+SUMPRODUCT($F$45:$J$45,Sheet1!$W69:$AA69))</f>
        <v>0</v>
      </c>
      <c r="U64" s="303">
        <f>IF(U$45&lt;0,0,Sheet1!Y69+SUMPRODUCT($F$45:$J$45,Sheet1!$W69:$AA69))</f>
        <v>0.26726923548790182</v>
      </c>
      <c r="V64" s="303">
        <f>IF(V$45&lt;0,0,Sheet1!Z69+SUMPRODUCT($F$45:$J$45,Sheet1!$W69:$AA69))</f>
        <v>2.7061140937673827</v>
      </c>
      <c r="W64" s="303">
        <f>IF(W$45&lt;0,0,Sheet1!AA69+SUMPRODUCT($F$45:$J$45,Sheet1!$W69:$AA69))</f>
        <v>1.6295194036175644</v>
      </c>
      <c r="X64" s="323" t="str">
        <f>IF(ISERROR(SUM(S64:W64)),"Clear #NUM! in Sheet1",IF(SUMIFS($S$43:$W$43,Sheet1!W69:AA69,"",$S$45:$W$45,"&lt;0")&gt;0,IF(OR(SUMIFS($S$42:$W$42,S64:W64,"")=SUM($S$42:$W$42),SUMIFS($S$42:$W$42,S64:W64,"")=SUMIFS($S$42:$W$42,$S$45:$W$45,"=0")),"","Clear all deltas"),IF(SUMIFS($S$43:$W$43,Sheet1!W69:AA69,"",$S$45:$W$45,"=0")-SUMIFS($S$43:$W$43,S64:W64,"",$S$45:$W$45,"=0")&gt;0,"Clear deltas with missing values","")))</f>
        <v/>
      </c>
      <c r="Y64" s="321"/>
      <c r="Z64" s="18"/>
      <c r="AA64" s="51"/>
      <c r="AB64" s="34"/>
      <c r="AC64" s="2"/>
    </row>
    <row r="65" spans="1:29" x14ac:dyDescent="0.2">
      <c r="A65" s="105"/>
      <c r="B65" s="298" t="str">
        <f>Sheet1!B70</f>
        <v>Control</v>
      </c>
      <c r="C65" s="298" t="str">
        <f>Sheet1!C70</f>
        <v>Jordan</v>
      </c>
      <c r="D65" s="299"/>
      <c r="E65" s="299"/>
      <c r="F65" s="299">
        <f>IF(F$45&lt;0,0,Sheet1!F70+SUMPRODUCT($F$45:$J$45,Sheet1!$F70:$J70))</f>
        <v>0</v>
      </c>
      <c r="G65" s="299">
        <f>IF(G$45&lt;0,0,Sheet1!G70+SUMPRODUCT($F$45:$J$45,Sheet1!$F70:$J70))</f>
        <v>0</v>
      </c>
      <c r="H65" s="299">
        <f>IF(H$45&lt;0,0,Sheet1!H70+SUMPRODUCT($F$45:$J$45,Sheet1!$F70:$J70))</f>
        <v>5.3500000000000227</v>
      </c>
      <c r="I65" s="299">
        <f>IF(I$45&lt;0,0,Sheet1!I70+SUMPRODUCT($F$45:$J$45,Sheet1!$F70:$J70))</f>
        <v>-5.9499999999999886</v>
      </c>
      <c r="J65" s="299">
        <f>IF(J$45&lt;0,0,Sheet1!J70+SUMPRODUCT($F$45:$J$45,Sheet1!$F70:$J70))</f>
        <v>-5.1499999999999773</v>
      </c>
      <c r="K65" s="323" t="str">
        <f>IF(SUMIFS($F$43:$J$43,Sheet1!F70:J70,"",$F$45:$J$45,"&lt;0")&gt;0,IF(OR(SUMIFS($F$42:$J$42,F65:J65,"")=SUM($F$42:$J$42),SUMIFS($F$42:$J$42,F65:J65,"")=SUMIFS($F$42:$J$42,$F$45:$J$45,"=0")),"","Clear all deltas"),IF(SUMIFS($F$43:$J$43,Sheet1!F70:J70,"",$F$45:$J$45,"=0")-SUMIFS($F$43:$J$43,F65:J65,"",$F$45:$J$45,"=0")&gt;0,"Clear deltas with missing values",""))</f>
        <v/>
      </c>
      <c r="L65" s="316"/>
      <c r="M65" s="38"/>
      <c r="N65" s="105"/>
      <c r="O65" s="298" t="str">
        <f t="shared" si="32"/>
        <v>Control</v>
      </c>
      <c r="P65" s="298" t="str">
        <f t="shared" si="33"/>
        <v>Jordan</v>
      </c>
      <c r="Q65" s="299"/>
      <c r="R65" s="302"/>
      <c r="S65" s="303">
        <f>IF(S$45&lt;0,0,Sheet1!W70+SUMPRODUCT($F$45:$J$45,Sheet1!$W70:$AA70))</f>
        <v>0</v>
      </c>
      <c r="T65" s="303">
        <f>IF(T$45&lt;0,0,Sheet1!X70+SUMPRODUCT($F$45:$J$45,Sheet1!$W70:$AA70))</f>
        <v>0</v>
      </c>
      <c r="U65" s="303">
        <f>IF(U$45&lt;0,0,Sheet1!Y70+SUMPRODUCT($F$45:$J$45,Sheet1!$W70:$AA70))</f>
        <v>1.3035379099023885</v>
      </c>
      <c r="V65" s="303">
        <f>IF(V$45&lt;0,0,Sheet1!Z70+SUMPRODUCT($F$45:$J$45,Sheet1!$W70:$AA70))</f>
        <v>-1.463195060808971</v>
      </c>
      <c r="W65" s="303">
        <f>IF(W$45&lt;0,0,Sheet1!AA70+SUMPRODUCT($F$45:$J$45,Sheet1!$W70:$AA70))</f>
        <v>-1.2647822973043503</v>
      </c>
      <c r="X65" s="323" t="str">
        <f>IF(ISERROR(SUM(S65:W65)),"Clear #NUM! in Sheet1",IF(SUMIFS($S$43:$W$43,Sheet1!W70:AA70,"",$S$45:$W$45,"&lt;0")&gt;0,IF(OR(SUMIFS($S$42:$W$42,S65:W65,"")=SUM($S$42:$W$42),SUMIFS($S$42:$W$42,S65:W65,"")=SUMIFS($S$42:$W$42,$S$45:$W$45,"=0")),"","Clear all deltas"),IF(SUMIFS($S$43:$W$43,Sheet1!W70:AA70,"",$S$45:$W$45,"=0")-SUMIFS($S$43:$W$43,S65:W65,"",$S$45:$W$45,"=0")&gt;0,"Clear deltas with missing values","")))</f>
        <v/>
      </c>
      <c r="Y65" s="321"/>
      <c r="Z65" s="18"/>
      <c r="AA65" s="51"/>
      <c r="AB65" s="34"/>
      <c r="AC65" s="2"/>
    </row>
    <row r="66" spans="1:29" x14ac:dyDescent="0.2">
      <c r="A66" s="105"/>
      <c r="B66" s="298" t="str">
        <f>Sheet1!B71</f>
        <v>Control</v>
      </c>
      <c r="C66" s="298" t="str">
        <f>Sheet1!C71</f>
        <v>Kelly</v>
      </c>
      <c r="D66" s="299"/>
      <c r="E66" s="299"/>
      <c r="F66" s="299">
        <f>IF(F$45&lt;0,0,Sheet1!F71+SUMPRODUCT($F$45:$J$45,Sheet1!$F71:$J71))</f>
        <v>0</v>
      </c>
      <c r="G66" s="299">
        <f>IF(G$45&lt;0,0,Sheet1!G71+SUMPRODUCT($F$45:$J$45,Sheet1!$F71:$J71))</f>
        <v>0</v>
      </c>
      <c r="H66" s="299">
        <f>IF(H$45&lt;0,0,Sheet1!H71+SUMPRODUCT($F$45:$J$45,Sheet1!$F71:$J71))</f>
        <v>-6.8500000000000227</v>
      </c>
      <c r="I66" s="299">
        <f>IF(I$45&lt;0,0,Sheet1!I71+SUMPRODUCT($F$45:$J$45,Sheet1!$F71:$J71))</f>
        <v>-9.5500000000000114</v>
      </c>
      <c r="J66" s="299">
        <f>IF(J$45&lt;0,0,Sheet1!J71+SUMPRODUCT($F$45:$J$45,Sheet1!$F71:$J71))</f>
        <v>-12.550000000000011</v>
      </c>
      <c r="K66" s="323" t="str">
        <f>IF(SUMIFS($F$43:$J$43,Sheet1!F71:J71,"",$F$45:$J$45,"&lt;0")&gt;0,IF(OR(SUMIFS($F$42:$J$42,F66:J66,"")=SUM($F$42:$J$42),SUMIFS($F$42:$J$42,F66:J66,"")=SUMIFS($F$42:$J$42,$F$45:$J$45,"=0")),"","Clear all deltas"),IF(SUMIFS($F$43:$J$43,Sheet1!F71:J71,"",$F$45:$J$45,"=0")-SUMIFS($F$43:$J$43,F66:J66,"",$F$45:$J$45,"=0")&gt;0,"Clear deltas with missing values",""))</f>
        <v/>
      </c>
      <c r="L66" s="316"/>
      <c r="M66" s="38"/>
      <c r="N66" s="105"/>
      <c r="O66" s="298" t="str">
        <f t="shared" si="32"/>
        <v>Control</v>
      </c>
      <c r="P66" s="298" t="str">
        <f t="shared" si="33"/>
        <v>Kelly</v>
      </c>
      <c r="Q66" s="299"/>
      <c r="R66" s="302"/>
      <c r="S66" s="303">
        <f>IF(S$45&lt;0,0,Sheet1!W71+SUMPRODUCT($F$45:$J$45,Sheet1!$W71:$AA71))</f>
        <v>0</v>
      </c>
      <c r="T66" s="303">
        <f>IF(T$45&lt;0,0,Sheet1!X71+SUMPRODUCT($F$45:$J$45,Sheet1!$W71:$AA71))</f>
        <v>0</v>
      </c>
      <c r="U66" s="303">
        <f>IF(U$45&lt;0,0,Sheet1!Y71+SUMPRODUCT($F$45:$J$45,Sheet1!$W71:$AA71))</f>
        <v>-1.6670087333397987</v>
      </c>
      <c r="V66" s="303">
        <f>IF(V$45&lt;0,0,Sheet1!Z71+SUMPRODUCT($F$45:$J$45,Sheet1!$W71:$AA71))</f>
        <v>-2.3317902041059142</v>
      </c>
      <c r="W66" s="303">
        <f>IF(W$45&lt;0,0,Sheet1!AA71+SUMPRODUCT($F$45:$J$45,Sheet1!$W71:$AA71))</f>
        <v>-3.0756567633480927</v>
      </c>
      <c r="X66" s="323" t="str">
        <f>IF(ISERROR(SUM(S66:W66)),"Clear #NUM! in Sheet1",IF(SUMIFS($S$43:$W$43,Sheet1!W71:AA71,"",$S$45:$W$45,"&lt;0")&gt;0,IF(OR(SUMIFS($S$42:$W$42,S66:W66,"")=SUM($S$42:$W$42),SUMIFS($S$42:$W$42,S66:W66,"")=SUMIFS($S$42:$W$42,$S$45:$W$45,"=0")),"","Clear all deltas"),IF(SUMIFS($S$43:$W$43,Sheet1!W71:AA71,"",$S$45:$W$45,"=0")-SUMIFS($S$43:$W$43,S66:W66,"",$S$45:$W$45,"=0")&gt;0,"Clear deltas with missing values","")))</f>
        <v/>
      </c>
      <c r="Y66" s="322"/>
      <c r="Z66" s="18"/>
      <c r="AA66" s="51"/>
      <c r="AB66" s="34"/>
      <c r="AC66" s="2"/>
    </row>
    <row r="67" spans="1:29" x14ac:dyDescent="0.2">
      <c r="A67" s="105"/>
      <c r="B67" s="108"/>
      <c r="C67" s="108" t="s">
        <v>2</v>
      </c>
      <c r="D67" s="300"/>
      <c r="E67" s="109"/>
      <c r="F67" s="89">
        <f t="shared" ref="F67:J67" si="34">AVERAGE(F47:F66)</f>
        <v>0</v>
      </c>
      <c r="G67" s="89">
        <f t="shared" ref="G67:I67" si="35">AVERAGE(G47:G66)</f>
        <v>0</v>
      </c>
      <c r="H67" s="89">
        <f t="shared" si="35"/>
        <v>2.4099999999999939</v>
      </c>
      <c r="I67" s="89">
        <f t="shared" si="35"/>
        <v>-0.12500000000000569</v>
      </c>
      <c r="J67" s="89">
        <f t="shared" si="34"/>
        <v>0.75499999999999834</v>
      </c>
      <c r="K67" s="309"/>
      <c r="L67" s="16"/>
      <c r="M67" s="38"/>
      <c r="N67" s="105"/>
      <c r="O67" s="108"/>
      <c r="P67" s="108"/>
      <c r="Q67" s="304"/>
      <c r="R67" s="306" t="s">
        <v>2</v>
      </c>
      <c r="S67" s="292">
        <f t="shared" ref="S67:W67" si="36">AVERAGE(S47:S66)</f>
        <v>0</v>
      </c>
      <c r="T67" s="292">
        <f t="shared" ref="T67:V67" si="37">AVERAGE(T47:T66)</f>
        <v>0</v>
      </c>
      <c r="U67" s="292">
        <f t="shared" si="37"/>
        <v>0.59644807066393923</v>
      </c>
      <c r="V67" s="292">
        <f t="shared" si="37"/>
        <v>-2.2976901450147125E-2</v>
      </c>
      <c r="W67" s="292">
        <f t="shared" si="36"/>
        <v>0.18180707405473981</v>
      </c>
      <c r="X67" s="18"/>
      <c r="Y67" s="18"/>
      <c r="Z67" s="18"/>
      <c r="AA67" s="113"/>
      <c r="AB67" s="34"/>
      <c r="AC67" s="2"/>
    </row>
    <row r="68" spans="1:29" x14ac:dyDescent="0.2">
      <c r="A68" s="105"/>
      <c r="B68" s="114"/>
      <c r="C68" s="114" t="s">
        <v>3</v>
      </c>
      <c r="D68" s="301"/>
      <c r="E68" s="117"/>
      <c r="F68" s="92">
        <f t="shared" ref="F68:J68" si="38">STDEV(F47:F66)</f>
        <v>0</v>
      </c>
      <c r="G68" s="92">
        <f t="shared" ref="G68:I68" si="39">STDEV(G47:G66)</f>
        <v>0</v>
      </c>
      <c r="H68" s="92">
        <f t="shared" si="39"/>
        <v>7.3246088453133282</v>
      </c>
      <c r="I68" s="92">
        <f t="shared" si="39"/>
        <v>8.6347142091492568</v>
      </c>
      <c r="J68" s="92">
        <f t="shared" si="38"/>
        <v>7.7092203851860708</v>
      </c>
      <c r="K68" s="309"/>
      <c r="L68" s="16"/>
      <c r="M68" s="38"/>
      <c r="N68" s="105"/>
      <c r="O68" s="114"/>
      <c r="P68" s="114"/>
      <c r="Q68" s="125"/>
      <c r="R68" s="24" t="s">
        <v>3</v>
      </c>
      <c r="S68" s="293">
        <f t="shared" ref="S68:W68" si="40">STDEV(S47:S66)</f>
        <v>0</v>
      </c>
      <c r="T68" s="293">
        <f t="shared" ref="T68:V68" si="41">STDEV(T47:T66)</f>
        <v>0</v>
      </c>
      <c r="U68" s="293">
        <f t="shared" si="41"/>
        <v>1.8274326905231562</v>
      </c>
      <c r="V68" s="293">
        <f t="shared" si="41"/>
        <v>2.142115110181551</v>
      </c>
      <c r="W68" s="293">
        <f t="shared" si="40"/>
        <v>1.9240298577976442</v>
      </c>
      <c r="X68" s="18"/>
      <c r="Y68" s="18"/>
      <c r="Z68" s="18"/>
      <c r="AA68" s="113"/>
      <c r="AB68" s="34"/>
      <c r="AC68" s="2"/>
    </row>
    <row r="69" spans="1:29" x14ac:dyDescent="0.2">
      <c r="A69" s="105"/>
      <c r="B69" s="114"/>
      <c r="C69" s="114" t="s">
        <v>37</v>
      </c>
      <c r="D69" s="114"/>
      <c r="E69" s="115"/>
      <c r="F69" s="94">
        <f t="shared" ref="F69:J69" si="42">COUNT(F47:F66)</f>
        <v>20</v>
      </c>
      <c r="G69" s="94">
        <f t="shared" si="42"/>
        <v>20</v>
      </c>
      <c r="H69" s="94">
        <f t="shared" si="42"/>
        <v>20</v>
      </c>
      <c r="I69" s="94">
        <f t="shared" si="42"/>
        <v>20</v>
      </c>
      <c r="J69" s="94">
        <f t="shared" si="42"/>
        <v>20</v>
      </c>
      <c r="K69" s="16"/>
      <c r="L69" s="16"/>
      <c r="M69" s="38"/>
      <c r="N69" s="105"/>
      <c r="O69" s="114"/>
      <c r="P69" s="114"/>
      <c r="Q69" s="305"/>
      <c r="R69" s="24" t="s">
        <v>37</v>
      </c>
      <c r="S69" s="94">
        <f t="shared" ref="S69:W69" si="43">COUNT(S47:S66)</f>
        <v>20</v>
      </c>
      <c r="T69" s="94">
        <f t="shared" si="43"/>
        <v>20</v>
      </c>
      <c r="U69" s="94">
        <f t="shared" si="43"/>
        <v>20</v>
      </c>
      <c r="V69" s="94">
        <f t="shared" si="43"/>
        <v>20</v>
      </c>
      <c r="W69" s="94">
        <f t="shared" si="43"/>
        <v>20</v>
      </c>
      <c r="X69" s="18"/>
      <c r="Y69" s="18"/>
      <c r="Z69" s="18"/>
      <c r="AA69" s="113"/>
      <c r="AB69" s="34"/>
      <c r="AC69" s="2"/>
    </row>
    <row r="70" spans="1:29" x14ac:dyDescent="0.2">
      <c r="A70" s="105"/>
      <c r="B70" s="114"/>
      <c r="C70" s="115"/>
      <c r="D70" s="115"/>
      <c r="E70" s="115"/>
      <c r="F70" s="16"/>
      <c r="G70" s="16"/>
      <c r="H70" s="16"/>
      <c r="I70" s="16"/>
      <c r="J70" s="16"/>
      <c r="K70" s="16"/>
      <c r="L70" s="16"/>
      <c r="M70" s="38"/>
      <c r="N70" s="105"/>
      <c r="O70" s="114"/>
      <c r="P70" s="114"/>
      <c r="Q70" s="310"/>
      <c r="R70" s="307" t="s">
        <v>191</v>
      </c>
      <c r="S70" s="95">
        <f>100*EXP(S67/100)-100</f>
        <v>0</v>
      </c>
      <c r="T70" s="95">
        <f t="shared" ref="T70:V70" si="44">100*EXP(T67/100)-100</f>
        <v>0</v>
      </c>
      <c r="U70" s="95">
        <f t="shared" si="44"/>
        <v>0.59823036389150275</v>
      </c>
      <c r="V70" s="95">
        <f t="shared" si="44"/>
        <v>-2.2974261962303899E-2</v>
      </c>
      <c r="W70" s="95">
        <f t="shared" ref="W70" si="45">100*EXP(W67/100)-100</f>
        <v>0.18197244331810225</v>
      </c>
      <c r="X70" s="107"/>
      <c r="Y70" s="18"/>
      <c r="Z70" s="18"/>
      <c r="AA70" s="113"/>
      <c r="AB70" s="34"/>
      <c r="AC70" s="2"/>
    </row>
    <row r="71" spans="1:29" ht="15" customHeight="1" x14ac:dyDescent="0.2">
      <c r="A71" s="105"/>
      <c r="B71" s="114"/>
      <c r="C71" s="18"/>
      <c r="D71" s="18"/>
      <c r="E71" s="18"/>
      <c r="F71" s="18"/>
      <c r="G71" s="16"/>
      <c r="H71" s="16"/>
      <c r="I71" s="16"/>
      <c r="J71" s="16"/>
      <c r="K71" s="16"/>
      <c r="L71" s="16"/>
      <c r="M71" s="38"/>
      <c r="N71" s="105"/>
      <c r="O71" s="114"/>
      <c r="P71" s="114"/>
      <c r="Q71" s="311"/>
      <c r="R71" s="308" t="s">
        <v>7</v>
      </c>
      <c r="S71" s="98">
        <f>100*EXP(S68/100)-100</f>
        <v>0</v>
      </c>
      <c r="T71" s="98">
        <f t="shared" ref="T71:W71" si="46">100*EXP(T68/100)-100</f>
        <v>0</v>
      </c>
      <c r="U71" s="98">
        <f t="shared" si="46"/>
        <v>1.8442324202686819</v>
      </c>
      <c r="V71" s="98">
        <f t="shared" si="46"/>
        <v>2.1652231008673795</v>
      </c>
      <c r="W71" s="98">
        <f t="shared" si="46"/>
        <v>1.9426585946137749</v>
      </c>
      <c r="X71" s="107"/>
      <c r="Y71" s="18"/>
      <c r="Z71" s="18"/>
      <c r="AA71" s="113"/>
      <c r="AB71" s="34"/>
      <c r="AC71" s="2"/>
    </row>
    <row r="72" spans="1:29" x14ac:dyDescent="0.2">
      <c r="A72" s="105"/>
      <c r="B72" s="124"/>
      <c r="C72" s="18"/>
      <c r="D72" s="18"/>
      <c r="E72" s="18"/>
      <c r="F72" s="18"/>
      <c r="G72" s="16"/>
      <c r="H72" s="16"/>
      <c r="I72" s="16"/>
      <c r="J72" s="16"/>
      <c r="K72" s="16"/>
      <c r="L72" s="16"/>
      <c r="M72" s="38"/>
      <c r="N72" s="105"/>
      <c r="O72" s="114"/>
      <c r="P72" s="114"/>
      <c r="Q72" s="312"/>
      <c r="R72" s="307" t="s">
        <v>192</v>
      </c>
      <c r="S72" s="89">
        <f t="shared" ref="S72:W73" si="47">EXP(S67/100)</f>
        <v>1</v>
      </c>
      <c r="T72" s="89">
        <f t="shared" ref="T72:V72" si="48">EXP(T67/100)</f>
        <v>1</v>
      </c>
      <c r="U72" s="89">
        <f t="shared" si="48"/>
        <v>1.0059823036389151</v>
      </c>
      <c r="V72" s="89">
        <f t="shared" si="48"/>
        <v>0.99977025738037695</v>
      </c>
      <c r="W72" s="89">
        <f t="shared" si="47"/>
        <v>1.001819724433181</v>
      </c>
      <c r="X72" s="107"/>
      <c r="Y72" s="18"/>
      <c r="Z72" s="18"/>
      <c r="AA72" s="113"/>
      <c r="AB72" s="34"/>
      <c r="AC72" s="2"/>
    </row>
    <row r="73" spans="1:29" s="1" customFormat="1" x14ac:dyDescent="0.2">
      <c r="A73" s="105"/>
      <c r="B73" s="16"/>
      <c r="C73" s="16"/>
      <c r="D73" s="16"/>
      <c r="E73" s="16"/>
      <c r="F73" s="16"/>
      <c r="G73" s="16"/>
      <c r="H73" s="16"/>
      <c r="I73" s="16"/>
      <c r="J73" s="16"/>
      <c r="K73" s="54"/>
      <c r="L73" s="127"/>
      <c r="M73" s="38"/>
      <c r="N73" s="105"/>
      <c r="O73" s="114"/>
      <c r="P73" s="114"/>
      <c r="Q73" s="311"/>
      <c r="R73" s="308" t="s">
        <v>8</v>
      </c>
      <c r="S73" s="92">
        <f t="shared" si="47"/>
        <v>1</v>
      </c>
      <c r="T73" s="92">
        <f t="shared" ref="T73:V73" si="49">EXP(T68/100)</f>
        <v>1</v>
      </c>
      <c r="U73" s="92">
        <f t="shared" si="49"/>
        <v>1.0184423242026868</v>
      </c>
      <c r="V73" s="92">
        <f t="shared" si="49"/>
        <v>1.0216522310086738</v>
      </c>
      <c r="W73" s="92">
        <f t="shared" si="47"/>
        <v>1.0194265859461378</v>
      </c>
      <c r="X73" s="107"/>
      <c r="Y73" s="127"/>
      <c r="Z73" s="18"/>
      <c r="AA73" s="113"/>
      <c r="AB73" s="34"/>
      <c r="AC73" s="12"/>
    </row>
    <row r="74" spans="1:29" s="1" customFormat="1" x14ac:dyDescent="0.2">
      <c r="A74" s="105"/>
      <c r="B74" s="16"/>
      <c r="C74" s="16"/>
      <c r="D74" s="16"/>
      <c r="E74" s="16"/>
      <c r="F74" s="16"/>
      <c r="G74" s="16"/>
      <c r="H74" s="16"/>
      <c r="I74" s="16"/>
      <c r="J74" s="16"/>
      <c r="K74" s="54"/>
      <c r="L74" s="127"/>
      <c r="M74" s="38"/>
      <c r="N74" s="105"/>
      <c r="O74" s="114"/>
      <c r="P74" s="114"/>
      <c r="Q74" s="117"/>
      <c r="R74" s="117"/>
      <c r="S74" s="117"/>
      <c r="T74" s="117"/>
      <c r="U74" s="117"/>
      <c r="V74" s="117"/>
      <c r="W74" s="117"/>
      <c r="X74" s="117"/>
      <c r="Y74" s="117"/>
      <c r="Z74" s="18"/>
      <c r="AA74" s="113"/>
      <c r="AB74" s="34"/>
      <c r="AC74" s="12"/>
    </row>
    <row r="75" spans="1:29" ht="40.35" customHeight="1" x14ac:dyDescent="0.25">
      <c r="A75" s="106"/>
      <c r="B75" s="85" t="str">
        <f>Sheet1!B84</f>
        <v>Group</v>
      </c>
      <c r="C75" s="85" t="str">
        <f>Sheet1!C84</f>
        <v>Name</v>
      </c>
      <c r="D75" s="88" t="str">
        <f t="shared" ref="D75:J75" si="50">D46</f>
        <v>X1</v>
      </c>
      <c r="E75" s="88" t="str">
        <f t="shared" si="50"/>
        <v>X2</v>
      </c>
      <c r="F75" s="88" t="str">
        <f t="shared" si="50"/>
        <v>Pre1</v>
      </c>
      <c r="G75" s="88" t="str">
        <f t="shared" ref="G75:I75" si="51">G46</f>
        <v>Pre2</v>
      </c>
      <c r="H75" s="88" t="str">
        <f t="shared" si="51"/>
        <v>Post1</v>
      </c>
      <c r="I75" s="88" t="str">
        <f t="shared" si="51"/>
        <v>Post2</v>
      </c>
      <c r="J75" s="88" t="str">
        <f t="shared" si="50"/>
        <v>Post3</v>
      </c>
      <c r="K75" s="284"/>
      <c r="L75" s="284"/>
      <c r="M75" s="38"/>
      <c r="N75" s="106"/>
      <c r="O75" s="85" t="str">
        <f t="shared" ref="O75:W75" si="52">O46</f>
        <v>Group</v>
      </c>
      <c r="P75" s="85" t="str">
        <f t="shared" si="52"/>
        <v>Name</v>
      </c>
      <c r="Q75" s="88" t="str">
        <f t="shared" si="52"/>
        <v>X1</v>
      </c>
      <c r="R75" s="88" t="str">
        <f t="shared" si="52"/>
        <v>X2</v>
      </c>
      <c r="S75" s="88" t="str">
        <f t="shared" si="52"/>
        <v>Pre1</v>
      </c>
      <c r="T75" s="88" t="str">
        <f t="shared" ref="T75:V75" si="53">T46</f>
        <v>Pre2</v>
      </c>
      <c r="U75" s="88" t="str">
        <f t="shared" si="53"/>
        <v>Post1</v>
      </c>
      <c r="V75" s="88" t="str">
        <f t="shared" si="53"/>
        <v>Post2</v>
      </c>
      <c r="W75" s="88" t="str">
        <f t="shared" si="52"/>
        <v>Post3</v>
      </c>
      <c r="X75" s="284"/>
      <c r="Y75" s="284"/>
      <c r="Z75" s="18"/>
      <c r="AA75" s="18"/>
      <c r="AB75" s="18"/>
    </row>
    <row r="76" spans="1:29" x14ac:dyDescent="0.2">
      <c r="A76" s="106"/>
      <c r="B76" s="298" t="str">
        <f>Sheet1!B85</f>
        <v>Exptal</v>
      </c>
      <c r="C76" s="298" t="str">
        <f>Sheet1!C85</f>
        <v>Kerry</v>
      </c>
      <c r="D76" s="299"/>
      <c r="E76" s="299"/>
      <c r="F76" s="299">
        <f>IF(F$45&lt;0,0,Sheet1!F85+SUMPRODUCT($F$45:$J$45,Sheet1!$F85:$J85))</f>
        <v>0</v>
      </c>
      <c r="G76" s="299">
        <f>IF(G$45&lt;0,0,Sheet1!G85+SUMPRODUCT($F$45:$J$45,Sheet1!$F85:$J85))</f>
        <v>0</v>
      </c>
      <c r="H76" s="299">
        <f>IF(H$45&lt;0,0,Sheet1!H85+SUMPRODUCT($F$45:$J$45,Sheet1!$F85:$J85))</f>
        <v>-0.70000000000004547</v>
      </c>
      <c r="I76" s="299">
        <f>IF(I$45&lt;0,0,Sheet1!I85+SUMPRODUCT($F$45:$J$45,Sheet1!$F85:$J85))</f>
        <v>0</v>
      </c>
      <c r="J76" s="299">
        <f>IF(J$45&lt;0,0,Sheet1!J85+SUMPRODUCT($F$45:$J$45,Sheet1!$F85:$J85))</f>
        <v>-12.100000000000023</v>
      </c>
      <c r="K76" s="323" t="str">
        <f>IF(SUMIFS($F$43:$J$43,Sheet1!F85:J85,"",$F$45:$J$45,"&lt;0")&gt;0,IF(OR(SUMIFS($F$42:$J$42,F76:J76,"")=SUM($F$42:$J$42),SUMIFS($F$42:$J$42,F76:J76,"")=SUMIFS($F$42:$J$42,$F$45:$J$45,"=0")),"","Clear all deltas"),IF(SUMIFS($F$43:$J$43,Sheet1!F85:J85,"",$F$45:$J$45,"=0")-SUMIFS($F$43:$J$43,F76:J76,"",$F$45:$J$45,"=0")&gt;0,"Clear deltas with missing values",""))</f>
        <v/>
      </c>
      <c r="L76" s="316"/>
      <c r="M76" s="38"/>
      <c r="N76" s="106"/>
      <c r="O76" s="298" t="str">
        <f t="shared" ref="O76:O95" si="54">B76</f>
        <v>Exptal</v>
      </c>
      <c r="P76" s="298" t="str">
        <f t="shared" ref="P76:P95" si="55">C76</f>
        <v>Kerry</v>
      </c>
      <c r="Q76" s="299"/>
      <c r="R76" s="302"/>
      <c r="S76" s="303">
        <f>IF(S$45&lt;0,0,Sheet1!W85+SUMPRODUCT($F$45:$J$45,Sheet1!$W85:$AA85))</f>
        <v>0</v>
      </c>
      <c r="T76" s="303">
        <f>IF(T$45&lt;0,0,Sheet1!X85+SUMPRODUCT($F$45:$J$45,Sheet1!$W85:$AA85))</f>
        <v>0</v>
      </c>
      <c r="U76" s="303">
        <f>IF(U$45&lt;0,0,Sheet1!Y85+SUMPRODUCT($F$45:$J$45,Sheet1!$W85:$AA85))</f>
        <v>-0.17578807482402681</v>
      </c>
      <c r="V76" s="303">
        <f>IF(V$45&lt;0,0,Sheet1!Z85+SUMPRODUCT($F$45:$J$45,Sheet1!$W85:$AA85))</f>
        <v>2.0191403143599018E-4</v>
      </c>
      <c r="W76" s="303">
        <f>IF(W$45&lt;0,0,Sheet1!AA85+SUMPRODUCT($F$45:$J$45,Sheet1!$W85:$AA85))</f>
        <v>-3.0863841401126137</v>
      </c>
      <c r="X76" s="323" t="str">
        <f>IF(ISERROR(SUM(S76:W76)),"Clear #NUM! in Sheet1",IF(SUMIFS($S$43:$W$43,Sheet1!W85:AA85,"",$S$45:$W$45,"&lt;0")&gt;0,IF(OR(SUMIFS($S$42:$W$42,S76:W76,"")=SUM($S$42:$W$42),SUMIFS($S$42:$W$42,S76:W76,"")=SUMIFS($S$42:$W$42,$S$45:$W$45,"=0")),"","Clear all deltas"),IF(SUMIFS($S$43:$W$43,Sheet1!W85:AA85,"",$S$45:$W$45,"=0")-SUMIFS($S$43:$W$43,S76:W76,"",$S$45:$W$45,"=0")&gt;0,"Clear deltas with missing values","")))</f>
        <v/>
      </c>
      <c r="Y76" s="321"/>
      <c r="Z76" s="18"/>
      <c r="AA76" s="51"/>
      <c r="AB76" s="34"/>
      <c r="AC76" s="2"/>
    </row>
    <row r="77" spans="1:29" x14ac:dyDescent="0.2">
      <c r="A77" s="106"/>
      <c r="B77" s="298" t="str">
        <f>Sheet1!B86</f>
        <v>Exptal</v>
      </c>
      <c r="C77" s="298" t="str">
        <f>Sheet1!C86</f>
        <v>Kim</v>
      </c>
      <c r="D77" s="299"/>
      <c r="E77" s="299"/>
      <c r="F77" s="299">
        <f>IF(F$45&lt;0,0,Sheet1!F86+SUMPRODUCT($F$45:$J$45,Sheet1!$F86:$J86))</f>
        <v>0</v>
      </c>
      <c r="G77" s="299">
        <f>IF(G$45&lt;0,0,Sheet1!G86+SUMPRODUCT($F$45:$J$45,Sheet1!$F86:$J86))</f>
        <v>0</v>
      </c>
      <c r="H77" s="299">
        <f>IF(H$45&lt;0,0,Sheet1!H86+SUMPRODUCT($F$45:$J$45,Sheet1!$F86:$J86))</f>
        <v>-14.75</v>
      </c>
      <c r="I77" s="299">
        <f>IF(I$45&lt;0,0,Sheet1!I86+SUMPRODUCT($F$45:$J$45,Sheet1!$F86:$J86))</f>
        <v>-8.1500000000000341</v>
      </c>
      <c r="J77" s="299">
        <f>IF(J$45&lt;0,0,Sheet1!J86+SUMPRODUCT($F$45:$J$45,Sheet1!$F86:$J86))</f>
        <v>-8.9499999999999886</v>
      </c>
      <c r="K77" s="323" t="str">
        <f>IF(SUMIFS($F$43:$J$43,Sheet1!F86:J86,"",$F$45:$J$45,"&lt;0")&gt;0,IF(OR(SUMIFS($F$42:$J$42,F77:J77,"")=SUM($F$42:$J$42),SUMIFS($F$42:$J$42,F77:J77,"")=SUMIFS($F$42:$J$42,$F$45:$J$45,"=0")),"","Clear all deltas"),IF(SUMIFS($F$43:$J$43,Sheet1!F86:J86,"",$F$45:$J$45,"=0")-SUMIFS($F$43:$J$43,F77:J77,"",$F$45:$J$45,"=0")&gt;0,"Clear deltas with missing values",""))</f>
        <v/>
      </c>
      <c r="L77" s="316"/>
      <c r="M77" s="38"/>
      <c r="N77" s="106"/>
      <c r="O77" s="298" t="str">
        <f t="shared" si="54"/>
        <v>Exptal</v>
      </c>
      <c r="P77" s="298" t="str">
        <f t="shared" si="55"/>
        <v>Kim</v>
      </c>
      <c r="Q77" s="299"/>
      <c r="R77" s="302"/>
      <c r="S77" s="303">
        <f>IF(S$45&lt;0,0,Sheet1!W86+SUMPRODUCT($F$45:$J$45,Sheet1!$W86:$AA86))</f>
        <v>0</v>
      </c>
      <c r="T77" s="303">
        <f>IF(T$45&lt;0,0,Sheet1!X86+SUMPRODUCT($F$45:$J$45,Sheet1!$W86:$AA86))</f>
        <v>0</v>
      </c>
      <c r="U77" s="303">
        <f>IF(U$45&lt;0,0,Sheet1!Y86+SUMPRODUCT($F$45:$J$45,Sheet1!$W86:$AA86))</f>
        <v>-3.7369440973226347</v>
      </c>
      <c r="V77" s="303">
        <f>IF(V$45&lt;0,0,Sheet1!Z86+SUMPRODUCT($F$45:$J$45,Sheet1!$W86:$AA86))</f>
        <v>-2.0471957517073633</v>
      </c>
      <c r="W77" s="303">
        <f>IF(W$45&lt;0,0,Sheet1!AA86+SUMPRODUCT($F$45:$J$45,Sheet1!$W86:$AA86))</f>
        <v>-2.2504995066118454</v>
      </c>
      <c r="X77" s="323" t="str">
        <f>IF(ISERROR(SUM(S77:W77)),"Clear #NUM! in Sheet1",IF(SUMIFS($S$43:$W$43,Sheet1!W86:AA86,"",$S$45:$W$45,"&lt;0")&gt;0,IF(OR(SUMIFS($S$42:$W$42,S77:W77,"")=SUM($S$42:$W$42),SUMIFS($S$42:$W$42,S77:W77,"")=SUMIFS($S$42:$W$42,$S$45:$W$45,"=0")),"","Clear all deltas"),IF(SUMIFS($S$43:$W$43,Sheet1!W86:AA86,"",$S$45:$W$45,"=0")-SUMIFS($S$43:$W$43,S77:W77,"",$S$45:$W$45,"=0")&gt;0,"Clear deltas with missing values","")))</f>
        <v/>
      </c>
      <c r="Y77" s="321"/>
      <c r="Z77" s="18"/>
      <c r="AA77" s="51"/>
      <c r="AB77" s="34"/>
      <c r="AC77" s="2"/>
    </row>
    <row r="78" spans="1:29" x14ac:dyDescent="0.2">
      <c r="A78" s="106"/>
      <c r="B78" s="298" t="str">
        <f>Sheet1!B87</f>
        <v>Exptal</v>
      </c>
      <c r="C78" s="298" t="str">
        <f>Sheet1!C87</f>
        <v>Kylie</v>
      </c>
      <c r="D78" s="299"/>
      <c r="E78" s="299"/>
      <c r="F78" s="299">
        <f>IF(F$45&lt;0,0,Sheet1!F87+SUMPRODUCT($F$45:$J$45,Sheet1!$F87:$J87))</f>
        <v>0</v>
      </c>
      <c r="G78" s="299">
        <f>IF(G$45&lt;0,0,Sheet1!G87+SUMPRODUCT($F$45:$J$45,Sheet1!$F87:$J87))</f>
        <v>0</v>
      </c>
      <c r="H78" s="299">
        <f>IF(H$45&lt;0,0,Sheet1!H87+SUMPRODUCT($F$45:$J$45,Sheet1!$F87:$J87))</f>
        <v>15.800000000000011</v>
      </c>
      <c r="I78" s="299">
        <f>IF(I$45&lt;0,0,Sheet1!I87+SUMPRODUCT($F$45:$J$45,Sheet1!$F87:$J87))</f>
        <v>-8.8999999999999773</v>
      </c>
      <c r="J78" s="299">
        <f>IF(J$45&lt;0,0,Sheet1!J87+SUMPRODUCT($F$45:$J$45,Sheet1!$F87:$J87))</f>
        <v>0.30000000000001137</v>
      </c>
      <c r="K78" s="323" t="str">
        <f>IF(SUMIFS($F$43:$J$43,Sheet1!F87:J87,"",$F$45:$J$45,"&lt;0")&gt;0,IF(OR(SUMIFS($F$42:$J$42,F78:J78,"")=SUM($F$42:$J$42),SUMIFS($F$42:$J$42,F78:J78,"")=SUMIFS($F$42:$J$42,$F$45:$J$45,"=0")),"","Clear all deltas"),IF(SUMIFS($F$43:$J$43,Sheet1!F87:J87,"",$F$45:$J$45,"=0")-SUMIFS($F$43:$J$43,F78:J78,"",$F$45:$J$45,"=0")&gt;0,"Clear deltas with missing values",""))</f>
        <v/>
      </c>
      <c r="L78" s="316"/>
      <c r="M78" s="38"/>
      <c r="N78" s="106"/>
      <c r="O78" s="298" t="str">
        <f t="shared" si="54"/>
        <v>Exptal</v>
      </c>
      <c r="P78" s="298" t="str">
        <f t="shared" si="55"/>
        <v>Kylie</v>
      </c>
      <c r="Q78" s="299"/>
      <c r="R78" s="302"/>
      <c r="S78" s="303">
        <f>IF(S$45&lt;0,0,Sheet1!W87+SUMPRODUCT($F$45:$J$45,Sheet1!$W87:$AA87))</f>
        <v>0</v>
      </c>
      <c r="T78" s="303">
        <f>IF(T$45&lt;0,0,Sheet1!X87+SUMPRODUCT($F$45:$J$45,Sheet1!$W87:$AA87))</f>
        <v>0</v>
      </c>
      <c r="U78" s="303">
        <f>IF(U$45&lt;0,0,Sheet1!Y87+SUMPRODUCT($F$45:$J$45,Sheet1!$W87:$AA87))</f>
        <v>3.6761766680326673</v>
      </c>
      <c r="V78" s="303">
        <f>IF(V$45&lt;0,0,Sheet1!Z87+SUMPRODUCT($F$45:$J$45,Sheet1!$W87:$AA87))</f>
        <v>-2.1283422178432829</v>
      </c>
      <c r="W78" s="303">
        <f>IF(W$45&lt;0,0,Sheet1!AA87+SUMPRODUCT($F$45:$J$45,Sheet1!$W87:$AA87))</f>
        <v>7.3230310110943719E-2</v>
      </c>
      <c r="X78" s="323" t="str">
        <f>IF(ISERROR(SUM(S78:W78)),"Clear #NUM! in Sheet1",IF(SUMIFS($S$43:$W$43,Sheet1!W87:AA87,"",$S$45:$W$45,"&lt;0")&gt;0,IF(OR(SUMIFS($S$42:$W$42,S78:W78,"")=SUM($S$42:$W$42),SUMIFS($S$42:$W$42,S78:W78,"")=SUMIFS($S$42:$W$42,$S$45:$W$45,"=0")),"","Clear all deltas"),IF(SUMIFS($S$43:$W$43,Sheet1!W87:AA87,"",$S$45:$W$45,"=0")-SUMIFS($S$43:$W$43,S78:W78,"",$S$45:$W$45,"=0")&gt;0,"Clear deltas with missing values","")))</f>
        <v/>
      </c>
      <c r="Y78" s="321"/>
      <c r="Z78" s="18"/>
      <c r="AA78" s="51"/>
      <c r="AB78" s="34"/>
      <c r="AC78" s="2"/>
    </row>
    <row r="79" spans="1:29" x14ac:dyDescent="0.2">
      <c r="A79" s="106"/>
      <c r="B79" s="298" t="str">
        <f>Sheet1!B88</f>
        <v>Exptal</v>
      </c>
      <c r="C79" s="298" t="str">
        <f>Sheet1!C88</f>
        <v>Lauren</v>
      </c>
      <c r="D79" s="299"/>
      <c r="E79" s="299"/>
      <c r="F79" s="299">
        <f>IF(F$45&lt;0,0,Sheet1!F88+SUMPRODUCT($F$45:$J$45,Sheet1!$F88:$J88))</f>
        <v>0</v>
      </c>
      <c r="G79" s="299">
        <f>IF(G$45&lt;0,0,Sheet1!G88+SUMPRODUCT($F$45:$J$45,Sheet1!$F88:$J88))</f>
        <v>0</v>
      </c>
      <c r="H79" s="299">
        <f>IF(H$45&lt;0,0,Sheet1!H88+SUMPRODUCT($F$45:$J$45,Sheet1!$F88:$J88))</f>
        <v>20.949999999999989</v>
      </c>
      <c r="I79" s="299">
        <f>IF(I$45&lt;0,0,Sheet1!I88+SUMPRODUCT($F$45:$J$45,Sheet1!$F88:$J88))</f>
        <v>4.25</v>
      </c>
      <c r="J79" s="299">
        <f>IF(J$45&lt;0,0,Sheet1!J88+SUMPRODUCT($F$45:$J$45,Sheet1!$F88:$J88))</f>
        <v>17.850000000000023</v>
      </c>
      <c r="K79" s="323" t="str">
        <f>IF(SUMIFS($F$43:$J$43,Sheet1!F88:J88,"",$F$45:$J$45,"&lt;0")&gt;0,IF(OR(SUMIFS($F$42:$J$42,F79:J79,"")=SUM($F$42:$J$42),SUMIFS($F$42:$J$42,F79:J79,"")=SUMIFS($F$42:$J$42,$F$45:$J$45,"=0")),"","Clear all deltas"),IF(SUMIFS($F$43:$J$43,Sheet1!F88:J88,"",$F$45:$J$45,"=0")-SUMIFS($F$43:$J$43,F79:J79,"",$F$45:$J$45,"=0")&gt;0,"Clear deltas with missing values",""))</f>
        <v/>
      </c>
      <c r="L79" s="316"/>
      <c r="M79" s="38"/>
      <c r="N79" s="106"/>
      <c r="O79" s="298" t="str">
        <f t="shared" si="54"/>
        <v>Exptal</v>
      </c>
      <c r="P79" s="298" t="str">
        <f t="shared" si="55"/>
        <v>Lauren</v>
      </c>
      <c r="Q79" s="299"/>
      <c r="R79" s="302"/>
      <c r="S79" s="303">
        <f>IF(S$45&lt;0,0,Sheet1!W88+SUMPRODUCT($F$45:$J$45,Sheet1!$W88:$AA88))</f>
        <v>0</v>
      </c>
      <c r="T79" s="303">
        <f>IF(T$45&lt;0,0,Sheet1!X88+SUMPRODUCT($F$45:$J$45,Sheet1!$W88:$AA88))</f>
        <v>0</v>
      </c>
      <c r="U79" s="303">
        <f>IF(U$45&lt;0,0,Sheet1!Y88+SUMPRODUCT($F$45:$J$45,Sheet1!$W88:$AA88))</f>
        <v>5.149857222764922</v>
      </c>
      <c r="V79" s="303">
        <f>IF(V$45&lt;0,0,Sheet1!Z88+SUMPRODUCT($F$45:$J$45,Sheet1!$W88:$AA88))</f>
        <v>1.0666595226648496</v>
      </c>
      <c r="W79" s="303">
        <f>IF(W$45&lt;0,0,Sheet1!AA88+SUMPRODUCT($F$45:$J$45,Sheet1!$W88:$AA88))</f>
        <v>4.4043926667906135</v>
      </c>
      <c r="X79" s="323" t="str">
        <f>IF(ISERROR(SUM(S79:W79)),"Clear #NUM! in Sheet1",IF(SUMIFS($S$43:$W$43,Sheet1!W88:AA88,"",$S$45:$W$45,"&lt;0")&gt;0,IF(OR(SUMIFS($S$42:$W$42,S79:W79,"")=SUM($S$42:$W$42),SUMIFS($S$42:$W$42,S79:W79,"")=SUMIFS($S$42:$W$42,$S$45:$W$45,"=0")),"","Clear all deltas"),IF(SUMIFS($S$43:$W$43,Sheet1!W88:AA88,"",$S$45:$W$45,"=0")-SUMIFS($S$43:$W$43,S79:W79,"",$S$45:$W$45,"=0")&gt;0,"Clear deltas with missing values","")))</f>
        <v/>
      </c>
      <c r="Y79" s="321"/>
      <c r="Z79" s="18"/>
      <c r="AA79" s="51"/>
      <c r="AB79" s="34"/>
      <c r="AC79" s="2"/>
    </row>
    <row r="80" spans="1:29" x14ac:dyDescent="0.2">
      <c r="A80" s="106"/>
      <c r="B80" s="298" t="str">
        <f>Sheet1!B89</f>
        <v>Exptal</v>
      </c>
      <c r="C80" s="298" t="str">
        <f>Sheet1!C89</f>
        <v>Lee</v>
      </c>
      <c r="D80" s="299"/>
      <c r="E80" s="299"/>
      <c r="F80" s="299">
        <f>IF(F$45&lt;0,0,Sheet1!F89+SUMPRODUCT($F$45:$J$45,Sheet1!$F89:$J89))</f>
        <v>0</v>
      </c>
      <c r="G80" s="299">
        <f>IF(G$45&lt;0,0,Sheet1!G89+SUMPRODUCT($F$45:$J$45,Sheet1!$F89:$J89))</f>
        <v>0</v>
      </c>
      <c r="H80" s="299">
        <f>IF(H$45&lt;0,0,Sheet1!H89+SUMPRODUCT($F$45:$J$45,Sheet1!$F89:$J89))</f>
        <v>15.5</v>
      </c>
      <c r="I80" s="299">
        <f>IF(I$45&lt;0,0,Sheet1!I89+SUMPRODUCT($F$45:$J$45,Sheet1!$F89:$J89))</f>
        <v>7.2000000000000455</v>
      </c>
      <c r="J80" s="299">
        <f>IF(J$45&lt;0,0,Sheet1!J89+SUMPRODUCT($F$45:$J$45,Sheet1!$F89:$J89))</f>
        <v>16.800000000000011</v>
      </c>
      <c r="K80" s="323" t="str">
        <f>IF(SUMIFS($F$43:$J$43,Sheet1!F89:J89,"",$F$45:$J$45,"&lt;0")&gt;0,IF(OR(SUMIFS($F$42:$J$42,F80:J80,"")=SUM($F$42:$J$42),SUMIFS($F$42:$J$42,F80:J80,"")=SUMIFS($F$42:$J$42,$F$45:$J$45,"=0")),"","Clear all deltas"),IF(SUMIFS($F$43:$J$43,Sheet1!F89:J89,"",$F$45:$J$45,"=0")-SUMIFS($F$43:$J$43,F80:J80,"",$F$45:$J$45,"=0")&gt;0,"Clear deltas with missing values",""))</f>
        <v/>
      </c>
      <c r="L80" s="316"/>
      <c r="M80" s="38"/>
      <c r="N80" s="106"/>
      <c r="O80" s="298" t="str">
        <f t="shared" si="54"/>
        <v>Exptal</v>
      </c>
      <c r="P80" s="298" t="str">
        <f t="shared" si="55"/>
        <v>Lee</v>
      </c>
      <c r="Q80" s="299"/>
      <c r="R80" s="302"/>
      <c r="S80" s="303">
        <f>IF(S$45&lt;0,0,Sheet1!W89+SUMPRODUCT($F$45:$J$45,Sheet1!$W89:$AA89))</f>
        <v>0</v>
      </c>
      <c r="T80" s="303">
        <f>IF(T$45&lt;0,0,Sheet1!X89+SUMPRODUCT($F$45:$J$45,Sheet1!$W89:$AA89))</f>
        <v>0</v>
      </c>
      <c r="U80" s="303">
        <f>IF(U$45&lt;0,0,Sheet1!Y89+SUMPRODUCT($F$45:$J$45,Sheet1!$W89:$AA89))</f>
        <v>3.8628603128073564</v>
      </c>
      <c r="V80" s="303">
        <f>IF(V$45&lt;0,0,Sheet1!Z89+SUMPRODUCT($F$45:$J$45,Sheet1!$W89:$AA89))</f>
        <v>1.8146702676891664</v>
      </c>
      <c r="W80" s="303">
        <f>IF(W$45&lt;0,0,Sheet1!AA89+SUMPRODUCT($F$45:$J$45,Sheet1!$W89:$AA89))</f>
        <v>4.179895086339684</v>
      </c>
      <c r="X80" s="323" t="str">
        <f>IF(ISERROR(SUM(S80:W80)),"Clear #NUM! in Sheet1",IF(SUMIFS($S$43:$W$43,Sheet1!W89:AA89,"",$S$45:$W$45,"&lt;0")&gt;0,IF(OR(SUMIFS($S$42:$W$42,S80:W80,"")=SUM($S$42:$W$42),SUMIFS($S$42:$W$42,S80:W80,"")=SUMIFS($S$42:$W$42,$S$45:$W$45,"=0")),"","Clear all deltas"),IF(SUMIFS($S$43:$W$43,Sheet1!W89:AA89,"",$S$45:$W$45,"=0")-SUMIFS($S$43:$W$43,S80:W80,"",$S$45:$W$45,"=0")&gt;0,"Clear deltas with missing values","")))</f>
        <v/>
      </c>
      <c r="Y80" s="321"/>
      <c r="Z80" s="18"/>
      <c r="AA80" s="51"/>
      <c r="AB80" s="34"/>
      <c r="AC80" s="2"/>
    </row>
    <row r="81" spans="1:29" x14ac:dyDescent="0.2">
      <c r="A81" s="106"/>
      <c r="B81" s="298" t="str">
        <f>Sheet1!B90</f>
        <v>Exptal</v>
      </c>
      <c r="C81" s="298" t="str">
        <f>Sheet1!C90</f>
        <v>Leslie</v>
      </c>
      <c r="D81" s="299"/>
      <c r="E81" s="299"/>
      <c r="F81" s="299">
        <f>IF(F$45&lt;0,0,Sheet1!F90+SUMPRODUCT($F$45:$J$45,Sheet1!$F90:$J90))</f>
        <v>0</v>
      </c>
      <c r="G81" s="299">
        <f>IF(G$45&lt;0,0,Sheet1!G90+SUMPRODUCT($F$45:$J$45,Sheet1!$F90:$J90))</f>
        <v>0</v>
      </c>
      <c r="H81" s="299">
        <f>IF(H$45&lt;0,0,Sheet1!H90+SUMPRODUCT($F$45:$J$45,Sheet1!$F90:$J90))</f>
        <v>13.650000000000034</v>
      </c>
      <c r="I81" s="299">
        <f>IF(I$45&lt;0,0,Sheet1!I90+SUMPRODUCT($F$45:$J$45,Sheet1!$F90:$J90))</f>
        <v>9.0500000000000114</v>
      </c>
      <c r="J81" s="299">
        <f>IF(J$45&lt;0,0,Sheet1!J90+SUMPRODUCT($F$45:$J$45,Sheet1!$F90:$J90))</f>
        <v>27.350000000000023</v>
      </c>
      <c r="K81" s="323" t="str">
        <f>IF(SUMIFS($F$43:$J$43,Sheet1!F90:J90,"",$F$45:$J$45,"&lt;0")&gt;0,IF(OR(SUMIFS($F$42:$J$42,F81:J81,"")=SUM($F$42:$J$42),SUMIFS($F$42:$J$42,F81:J81,"")=SUMIFS($F$42:$J$42,$F$45:$J$45,"=0")),"","Clear all deltas"),IF(SUMIFS($F$43:$J$43,Sheet1!F90:J90,"",$F$45:$J$45,"=0")-SUMIFS($F$43:$J$43,F81:J81,"",$F$45:$J$45,"=0")&gt;0,"Clear deltas with missing values",""))</f>
        <v/>
      </c>
      <c r="L81" s="316"/>
      <c r="M81" s="38"/>
      <c r="N81" s="106"/>
      <c r="O81" s="298" t="str">
        <f t="shared" si="54"/>
        <v>Exptal</v>
      </c>
      <c r="P81" s="298" t="str">
        <f t="shared" si="55"/>
        <v>Leslie</v>
      </c>
      <c r="Q81" s="299"/>
      <c r="R81" s="302"/>
      <c r="S81" s="303">
        <f>IF(S$45&lt;0,0,Sheet1!W90+SUMPRODUCT($F$45:$J$45,Sheet1!$W90:$AA90))</f>
        <v>0</v>
      </c>
      <c r="T81" s="303">
        <f>IF(T$45&lt;0,0,Sheet1!X90+SUMPRODUCT($F$45:$J$45,Sheet1!$W90:$AA90))</f>
        <v>0</v>
      </c>
      <c r="U81" s="303">
        <f>IF(U$45&lt;0,0,Sheet1!Y90+SUMPRODUCT($F$45:$J$45,Sheet1!$W90:$AA90))</f>
        <v>3.4731910243426682</v>
      </c>
      <c r="V81" s="303">
        <f>IF(V$45&lt;0,0,Sheet1!Z90+SUMPRODUCT($F$45:$J$45,Sheet1!$W90:$AA90))</f>
        <v>2.317399263627749</v>
      </c>
      <c r="W81" s="303">
        <f>IF(W$45&lt;0,0,Sheet1!AA90+SUMPRODUCT($F$45:$J$45,Sheet1!$W90:$AA90))</f>
        <v>6.8383618070213288</v>
      </c>
      <c r="X81" s="323" t="str">
        <f>IF(ISERROR(SUM(S81:W81)),"Clear #NUM! in Sheet1",IF(SUMIFS($S$43:$W$43,Sheet1!W90:AA90,"",$S$45:$W$45,"&lt;0")&gt;0,IF(OR(SUMIFS($S$42:$W$42,S81:W81,"")=SUM($S$42:$W$42),SUMIFS($S$42:$W$42,S81:W81,"")=SUMIFS($S$42:$W$42,$S$45:$W$45,"=0")),"","Clear all deltas"),IF(SUMIFS($S$43:$W$43,Sheet1!W90:AA90,"",$S$45:$W$45,"=0")-SUMIFS($S$43:$W$43,S81:W81,"",$S$45:$W$45,"=0")&gt;0,"Clear deltas with missing values","")))</f>
        <v/>
      </c>
      <c r="Y81" s="321"/>
      <c r="Z81" s="18"/>
      <c r="AA81" s="51"/>
      <c r="AB81" s="34"/>
      <c r="AC81" s="2"/>
    </row>
    <row r="82" spans="1:29" x14ac:dyDescent="0.2">
      <c r="A82" s="106"/>
      <c r="B82" s="298" t="str">
        <f>Sheet1!B91</f>
        <v>Exptal</v>
      </c>
      <c r="C82" s="298" t="str">
        <f>Sheet1!C91</f>
        <v>Lindsay</v>
      </c>
      <c r="D82" s="299"/>
      <c r="E82" s="299"/>
      <c r="F82" s="299">
        <f>IF(F$45&lt;0,0,Sheet1!F91+SUMPRODUCT($F$45:$J$45,Sheet1!$F91:$J91))</f>
        <v>0</v>
      </c>
      <c r="G82" s="299">
        <f>IF(G$45&lt;0,0,Sheet1!G91+SUMPRODUCT($F$45:$J$45,Sheet1!$F91:$J91))</f>
        <v>0</v>
      </c>
      <c r="H82" s="299">
        <f>IF(H$45&lt;0,0,Sheet1!H91+SUMPRODUCT($F$45:$J$45,Sheet1!$F91:$J91))</f>
        <v>6</v>
      </c>
      <c r="I82" s="299">
        <f>IF(I$45&lt;0,0,Sheet1!I91+SUMPRODUCT($F$45:$J$45,Sheet1!$F91:$J91))</f>
        <v>0.90000000000003411</v>
      </c>
      <c r="J82" s="299">
        <f>IF(J$45&lt;0,0,Sheet1!J91+SUMPRODUCT($F$45:$J$45,Sheet1!$F91:$J91))</f>
        <v>2.2000000000000455</v>
      </c>
      <c r="K82" s="323" t="str">
        <f>IF(SUMIFS($F$43:$J$43,Sheet1!F91:J91,"",$F$45:$J$45,"&lt;0")&gt;0,IF(OR(SUMIFS($F$42:$J$42,F82:J82,"")=SUM($F$42:$J$42),SUMIFS($F$42:$J$42,F82:J82,"")=SUMIFS($F$42:$J$42,$F$45:$J$45,"=0")),"","Clear all deltas"),IF(SUMIFS($F$43:$J$43,Sheet1!F91:J91,"",$F$45:$J$45,"=0")-SUMIFS($F$43:$J$43,F82:J82,"",$F$45:$J$45,"=0")&gt;0,"Clear deltas with missing values",""))</f>
        <v/>
      </c>
      <c r="L82" s="316"/>
      <c r="M82" s="38"/>
      <c r="N82" s="106"/>
      <c r="O82" s="298" t="str">
        <f t="shared" si="54"/>
        <v>Exptal</v>
      </c>
      <c r="P82" s="298" t="str">
        <f t="shared" si="55"/>
        <v>Lindsay</v>
      </c>
      <c r="Q82" s="299"/>
      <c r="R82" s="302"/>
      <c r="S82" s="303">
        <f>IF(S$45&lt;0,0,Sheet1!W91+SUMPRODUCT($F$45:$J$45,Sheet1!$W91:$AA91))</f>
        <v>0</v>
      </c>
      <c r="T82" s="303">
        <f>IF(T$45&lt;0,0,Sheet1!X91+SUMPRODUCT($F$45:$J$45,Sheet1!$W91:$AA91))</f>
        <v>0</v>
      </c>
      <c r="U82" s="303">
        <f>IF(U$45&lt;0,0,Sheet1!Y91+SUMPRODUCT($F$45:$J$45,Sheet1!$W91:$AA91))</f>
        <v>1.504675992558532</v>
      </c>
      <c r="V82" s="303">
        <f>IF(V$45&lt;0,0,Sheet1!Z91+SUMPRODUCT($F$45:$J$45,Sheet1!$W91:$AA91))</f>
        <v>0.23552868484455303</v>
      </c>
      <c r="W82" s="303">
        <f>IF(W$45&lt;0,0,Sheet1!AA91+SUMPRODUCT($F$45:$J$45,Sheet1!$W91:$AA91))</f>
        <v>0.56056960109867759</v>
      </c>
      <c r="X82" s="323" t="str">
        <f>IF(ISERROR(SUM(S82:W82)),"Clear #NUM! in Sheet1",IF(SUMIFS($S$43:$W$43,Sheet1!W91:AA91,"",$S$45:$W$45,"&lt;0")&gt;0,IF(OR(SUMIFS($S$42:$W$42,S82:W82,"")=SUM($S$42:$W$42),SUMIFS($S$42:$W$42,S82:W82,"")=SUMIFS($S$42:$W$42,$S$45:$W$45,"=0")),"","Clear all deltas"),IF(SUMIFS($S$43:$W$43,Sheet1!W91:AA91,"",$S$45:$W$45,"=0")-SUMIFS($S$43:$W$43,S82:W82,"",$S$45:$W$45,"=0")&gt;0,"Clear deltas with missing values","")))</f>
        <v/>
      </c>
      <c r="Y82" s="321"/>
      <c r="Z82" s="18"/>
      <c r="AA82" s="51"/>
      <c r="AB82" s="34"/>
      <c r="AC82" s="2"/>
    </row>
    <row r="83" spans="1:29" x14ac:dyDescent="0.2">
      <c r="A83" s="106"/>
      <c r="B83" s="298" t="str">
        <f>Sheet1!B92</f>
        <v>Exptal</v>
      </c>
      <c r="C83" s="298" t="str">
        <f>Sheet1!C92</f>
        <v>Morgan</v>
      </c>
      <c r="D83" s="299"/>
      <c r="E83" s="299"/>
      <c r="F83" s="299">
        <f>IF(F$45&lt;0,0,Sheet1!F92+SUMPRODUCT($F$45:$J$45,Sheet1!$F92:$J92))</f>
        <v>0</v>
      </c>
      <c r="G83" s="299">
        <f>IF(G$45&lt;0,0,Sheet1!G92+SUMPRODUCT($F$45:$J$45,Sheet1!$F92:$J92))</f>
        <v>0</v>
      </c>
      <c r="H83" s="299">
        <f>IF(H$45&lt;0,0,Sheet1!H92+SUMPRODUCT($F$45:$J$45,Sheet1!$F92:$J92))</f>
        <v>-4.8499999999999659</v>
      </c>
      <c r="I83" s="299">
        <f>IF(I$45&lt;0,0,Sheet1!I92+SUMPRODUCT($F$45:$J$45,Sheet1!$F92:$J92))</f>
        <v>-16.849999999999966</v>
      </c>
      <c r="J83" s="299">
        <f>IF(J$45&lt;0,0,Sheet1!J92+SUMPRODUCT($F$45:$J$45,Sheet1!$F92:$J92))</f>
        <v>-13.349999999999966</v>
      </c>
      <c r="K83" s="323" t="str">
        <f>IF(SUMIFS($F$43:$J$43,Sheet1!F92:J92,"",$F$45:$J$45,"&lt;0")&gt;0,IF(OR(SUMIFS($F$42:$J$42,F83:J83,"")=SUM($F$42:$J$42),SUMIFS($F$42:$J$42,F83:J83,"")=SUMIFS($F$42:$J$42,$F$45:$J$45,"=0")),"","Clear all deltas"),IF(SUMIFS($F$43:$J$43,Sheet1!F92:J92,"",$F$45:$J$45,"=0")-SUMIFS($F$43:$J$43,F83:J83,"",$F$45:$J$45,"=0")&gt;0,"Clear deltas with missing values",""))</f>
        <v/>
      </c>
      <c r="L83" s="316"/>
      <c r="M83" s="38"/>
      <c r="N83" s="106"/>
      <c r="O83" s="298" t="str">
        <f t="shared" si="54"/>
        <v>Exptal</v>
      </c>
      <c r="P83" s="298" t="str">
        <f t="shared" si="55"/>
        <v>Morgan</v>
      </c>
      <c r="Q83" s="299"/>
      <c r="R83" s="302"/>
      <c r="S83" s="303">
        <f>IF(S$45&lt;0,0,Sheet1!W92+SUMPRODUCT($F$45:$J$45,Sheet1!$W92:$AA92))</f>
        <v>0</v>
      </c>
      <c r="T83" s="303">
        <f>IF(T$45&lt;0,0,Sheet1!X92+SUMPRODUCT($F$45:$J$45,Sheet1!$W92:$AA92))</f>
        <v>0</v>
      </c>
      <c r="U83" s="303">
        <f>IF(U$45&lt;0,0,Sheet1!Y92+SUMPRODUCT($F$45:$J$45,Sheet1!$W92:$AA92))</f>
        <v>-1.1773593354860168</v>
      </c>
      <c r="V83" s="303">
        <f>IF(V$45&lt;0,0,Sheet1!Z92+SUMPRODUCT($F$45:$J$45,Sheet1!$W92:$AA92))</f>
        <v>-4.1843511135689369</v>
      </c>
      <c r="W83" s="303">
        <f>IF(W$45&lt;0,0,Sheet1!AA92+SUMPRODUCT($F$45:$J$45,Sheet1!$W92:$AA92))</f>
        <v>-3.2979327477809193</v>
      </c>
      <c r="X83" s="323" t="str">
        <f>IF(ISERROR(SUM(S83:W83)),"Clear #NUM! in Sheet1",IF(SUMIFS($S$43:$W$43,Sheet1!W92:AA92,"",$S$45:$W$45,"&lt;0")&gt;0,IF(OR(SUMIFS($S$42:$W$42,S83:W83,"")=SUM($S$42:$W$42),SUMIFS($S$42:$W$42,S83:W83,"")=SUMIFS($S$42:$W$42,$S$45:$W$45,"=0")),"","Clear all deltas"),IF(SUMIFS($S$43:$W$43,Sheet1!W92:AA92,"",$S$45:$W$45,"=0")-SUMIFS($S$43:$W$43,S83:W83,"",$S$45:$W$45,"=0")&gt;0,"Clear deltas with missing values","")))</f>
        <v/>
      </c>
      <c r="Y83" s="321"/>
      <c r="Z83" s="18"/>
      <c r="AA83" s="51"/>
      <c r="AB83" s="34"/>
      <c r="AC83" s="2"/>
    </row>
    <row r="84" spans="1:29" x14ac:dyDescent="0.2">
      <c r="A84" s="106"/>
      <c r="B84" s="298" t="str">
        <f>Sheet1!B93</f>
        <v>Exptal</v>
      </c>
      <c r="C84" s="298" t="str">
        <f>Sheet1!C93</f>
        <v>Pat</v>
      </c>
      <c r="D84" s="299"/>
      <c r="E84" s="299"/>
      <c r="F84" s="299">
        <f>IF(F$45&lt;0,0,Sheet1!F93+SUMPRODUCT($F$45:$J$45,Sheet1!$F93:$J93))</f>
        <v>0</v>
      </c>
      <c r="G84" s="299">
        <f>IF(G$45&lt;0,0,Sheet1!G93+SUMPRODUCT($F$45:$J$45,Sheet1!$F93:$J93))</f>
        <v>0</v>
      </c>
      <c r="H84" s="299">
        <f>IF(H$45&lt;0,0,Sheet1!H93+SUMPRODUCT($F$45:$J$45,Sheet1!$F93:$J93))</f>
        <v>8.1999999999999318</v>
      </c>
      <c r="I84" s="299">
        <f>IF(I$45&lt;0,0,Sheet1!I93+SUMPRODUCT($F$45:$J$45,Sheet1!$F93:$J93))</f>
        <v>-6.4000000000000341</v>
      </c>
      <c r="J84" s="299">
        <f>IF(J$45&lt;0,0,Sheet1!J93+SUMPRODUCT($F$45:$J$45,Sheet1!$F93:$J93))</f>
        <v>15.499999999999943</v>
      </c>
      <c r="K84" s="323" t="str">
        <f>IF(SUMIFS($F$43:$J$43,Sheet1!F93:J93,"",$F$45:$J$45,"&lt;0")&gt;0,IF(OR(SUMIFS($F$42:$J$42,F84:J84,"")=SUM($F$42:$J$42),SUMIFS($F$42:$J$42,F84:J84,"")=SUMIFS($F$42:$J$42,$F$45:$J$45,"=0")),"","Clear all deltas"),IF(SUMIFS($F$43:$J$43,Sheet1!F93:J93,"",$F$45:$J$45,"=0")-SUMIFS($F$43:$J$43,F84:J84,"",$F$45:$J$45,"=0")&gt;0,"Clear deltas with missing values",""))</f>
        <v/>
      </c>
      <c r="L84" s="316"/>
      <c r="M84" s="38"/>
      <c r="N84" s="106"/>
      <c r="O84" s="298" t="str">
        <f t="shared" si="54"/>
        <v>Exptal</v>
      </c>
      <c r="P84" s="298" t="str">
        <f t="shared" si="55"/>
        <v>Pat</v>
      </c>
      <c r="Q84" s="299"/>
      <c r="R84" s="302"/>
      <c r="S84" s="303">
        <f>IF(S$45&lt;0,0,Sheet1!W93+SUMPRODUCT($F$45:$J$45,Sheet1!$W93:$AA93))</f>
        <v>0</v>
      </c>
      <c r="T84" s="303">
        <f>IF(T$45&lt;0,0,Sheet1!X93+SUMPRODUCT($F$45:$J$45,Sheet1!$W93:$AA93))</f>
        <v>0</v>
      </c>
      <c r="U84" s="303">
        <f>IF(U$45&lt;0,0,Sheet1!Y93+SUMPRODUCT($F$45:$J$45,Sheet1!$W93:$AA93))</f>
        <v>2.0424761967503855</v>
      </c>
      <c r="V84" s="303">
        <f>IF(V$45&lt;0,0,Sheet1!Z93+SUMPRODUCT($F$45:$J$45,Sheet1!$W93:$AA93))</f>
        <v>-1.611583982463344</v>
      </c>
      <c r="W84" s="303">
        <f>IF(W$45&lt;0,0,Sheet1!AA93+SUMPRODUCT($F$45:$J$45,Sheet1!$W93:$AA93))</f>
        <v>3.82062559213432</v>
      </c>
      <c r="X84" s="323" t="str">
        <f>IF(ISERROR(SUM(S84:W84)),"Clear #NUM! in Sheet1",IF(SUMIFS($S$43:$W$43,Sheet1!W93:AA93,"",$S$45:$W$45,"&lt;0")&gt;0,IF(OR(SUMIFS($S$42:$W$42,S84:W84,"")=SUM($S$42:$W$42),SUMIFS($S$42:$W$42,S84:W84,"")=SUMIFS($S$42:$W$42,$S$45:$W$45,"=0")),"","Clear all deltas"),IF(SUMIFS($S$43:$W$43,Sheet1!W93:AA93,"",$S$45:$W$45,"=0")-SUMIFS($S$43:$W$43,S84:W84,"",$S$45:$W$45,"=0")&gt;0,"Clear deltas with missing values","")))</f>
        <v/>
      </c>
      <c r="Y84" s="321"/>
      <c r="Z84" s="18"/>
      <c r="AA84" s="51"/>
      <c r="AB84" s="34"/>
      <c r="AC84" s="2"/>
    </row>
    <row r="85" spans="1:29" x14ac:dyDescent="0.2">
      <c r="A85" s="106"/>
      <c r="B85" s="298" t="str">
        <f>Sheet1!B94</f>
        <v>Exptal</v>
      </c>
      <c r="C85" s="298" t="str">
        <f>Sheet1!C94</f>
        <v>Reilly</v>
      </c>
      <c r="D85" s="299"/>
      <c r="E85" s="299"/>
      <c r="F85" s="299">
        <f>IF(F$45&lt;0,0,Sheet1!F94+SUMPRODUCT($F$45:$J$45,Sheet1!$F94:$J94))</f>
        <v>0</v>
      </c>
      <c r="G85" s="299">
        <f>IF(G$45&lt;0,0,Sheet1!G94+SUMPRODUCT($F$45:$J$45,Sheet1!$F94:$J94))</f>
        <v>0</v>
      </c>
      <c r="H85" s="299">
        <f>IF(H$45&lt;0,0,Sheet1!H94+SUMPRODUCT($F$45:$J$45,Sheet1!$F94:$J94))</f>
        <v>5.9000000000000341</v>
      </c>
      <c r="I85" s="299">
        <f>IF(I$45&lt;0,0,Sheet1!I94+SUMPRODUCT($F$45:$J$45,Sheet1!$F94:$J94))</f>
        <v>8.4000000000000341</v>
      </c>
      <c r="J85" s="299">
        <f>IF(J$45&lt;0,0,Sheet1!J94+SUMPRODUCT($F$45:$J$45,Sheet1!$F94:$J94))</f>
        <v>6.7000000000000455</v>
      </c>
      <c r="K85" s="323" t="str">
        <f>IF(SUMIFS($F$43:$J$43,Sheet1!F94:J94,"",$F$45:$J$45,"&lt;0")&gt;0,IF(OR(SUMIFS($F$42:$J$42,F85:J85,"")=SUM($F$42:$J$42),SUMIFS($F$42:$J$42,F85:J85,"")=SUMIFS($F$42:$J$42,$F$45:$J$45,"=0")),"","Clear all deltas"),IF(SUMIFS($F$43:$J$43,Sheet1!F94:J94,"",$F$45:$J$45,"=0")-SUMIFS($F$43:$J$43,F85:J85,"",$F$45:$J$45,"=0")&gt;0,"Clear deltas with missing values",""))</f>
        <v/>
      </c>
      <c r="L85" s="316"/>
      <c r="M85" s="38"/>
      <c r="N85" s="106"/>
      <c r="O85" s="298" t="str">
        <f t="shared" si="54"/>
        <v>Exptal</v>
      </c>
      <c r="P85" s="298" t="str">
        <f t="shared" si="55"/>
        <v>Reilly</v>
      </c>
      <c r="Q85" s="299"/>
      <c r="R85" s="302"/>
      <c r="S85" s="303">
        <f>IF(S$45&lt;0,0,Sheet1!W94+SUMPRODUCT($F$45:$J$45,Sheet1!$W94:$AA94))</f>
        <v>0</v>
      </c>
      <c r="T85" s="303">
        <f>IF(T$45&lt;0,0,Sheet1!X94+SUMPRODUCT($F$45:$J$45,Sheet1!$W94:$AA94))</f>
        <v>0</v>
      </c>
      <c r="U85" s="303">
        <f>IF(U$45&lt;0,0,Sheet1!Y94+SUMPRODUCT($F$45:$J$45,Sheet1!$W94:$AA94))</f>
        <v>1.5061439304291753</v>
      </c>
      <c r="V85" s="303">
        <f>IF(V$45&lt;0,0,Sheet1!Z94+SUMPRODUCT($F$45:$J$45,Sheet1!$W94:$AA94))</f>
        <v>2.1375388806508226</v>
      </c>
      <c r="W85" s="303">
        <f>IF(W$45&lt;0,0,Sheet1!AA94+SUMPRODUCT($F$45:$J$45,Sheet1!$W94:$AA94))</f>
        <v>1.7086243843199327</v>
      </c>
      <c r="X85" s="323" t="str">
        <f>IF(ISERROR(SUM(S85:W85)),"Clear #NUM! in Sheet1",IF(SUMIFS($S$43:$W$43,Sheet1!W94:AA94,"",$S$45:$W$45,"&lt;0")&gt;0,IF(OR(SUMIFS($S$42:$W$42,S85:W85,"")=SUM($S$42:$W$42),SUMIFS($S$42:$W$42,S85:W85,"")=SUMIFS($S$42:$W$42,$S$45:$W$45,"=0")),"","Clear all deltas"),IF(SUMIFS($S$43:$W$43,Sheet1!W94:AA94,"",$S$45:$W$45,"=0")-SUMIFS($S$43:$W$43,S85:W85,"",$S$45:$W$45,"=0")&gt;0,"Clear deltas with missing values","")))</f>
        <v/>
      </c>
      <c r="Y85" s="321"/>
      <c r="Z85" s="18"/>
      <c r="AA85" s="51"/>
      <c r="AB85" s="34"/>
      <c r="AC85" s="2"/>
    </row>
    <row r="86" spans="1:29" x14ac:dyDescent="0.2">
      <c r="A86" s="106"/>
      <c r="B86" s="298" t="str">
        <f>Sheet1!B95</f>
        <v>Exptal</v>
      </c>
      <c r="C86" s="298" t="str">
        <f>Sheet1!C95</f>
        <v>Robin</v>
      </c>
      <c r="D86" s="299"/>
      <c r="E86" s="299"/>
      <c r="F86" s="299">
        <f>IF(F$45&lt;0,0,Sheet1!F95+SUMPRODUCT($F$45:$J$45,Sheet1!$F95:$J95))</f>
        <v>0</v>
      </c>
      <c r="G86" s="299">
        <f>IF(G$45&lt;0,0,Sheet1!G95+SUMPRODUCT($F$45:$J$45,Sheet1!$F95:$J95))</f>
        <v>0</v>
      </c>
      <c r="H86" s="299">
        <f>IF(H$45&lt;0,0,Sheet1!H95+SUMPRODUCT($F$45:$J$45,Sheet1!$F95:$J95))</f>
        <v>13.050000000000011</v>
      </c>
      <c r="I86" s="299">
        <f>IF(I$45&lt;0,0,Sheet1!I95+SUMPRODUCT($F$45:$J$45,Sheet1!$F95:$J95))</f>
        <v>5.1499999999999773</v>
      </c>
      <c r="J86" s="299">
        <f>IF(J$45&lt;0,0,Sheet1!J95+SUMPRODUCT($F$45:$J$45,Sheet1!$F95:$J95))</f>
        <v>25.25</v>
      </c>
      <c r="K86" s="323" t="str">
        <f>IF(SUMIFS($F$43:$J$43,Sheet1!F95:J95,"",$F$45:$J$45,"&lt;0")&gt;0,IF(OR(SUMIFS($F$42:$J$42,F86:J86,"")=SUM($F$42:$J$42),SUMIFS($F$42:$J$42,F86:J86,"")=SUMIFS($F$42:$J$42,$F$45:$J$45,"=0")),"","Clear all deltas"),IF(SUMIFS($F$43:$J$43,Sheet1!F95:J95,"",$F$45:$J$45,"=0")-SUMIFS($F$43:$J$43,F86:J86,"",$F$45:$J$45,"=0")&gt;0,"Clear deltas with missing values",""))</f>
        <v/>
      </c>
      <c r="L86" s="316"/>
      <c r="M86" s="38"/>
      <c r="N86" s="106"/>
      <c r="O86" s="298" t="str">
        <f t="shared" si="54"/>
        <v>Exptal</v>
      </c>
      <c r="P86" s="298" t="str">
        <f t="shared" si="55"/>
        <v>Robin</v>
      </c>
      <c r="Q86" s="299"/>
      <c r="R86" s="302"/>
      <c r="S86" s="303">
        <f>IF(S$45&lt;0,0,Sheet1!W95+SUMPRODUCT($F$45:$J$45,Sheet1!$W95:$AA95))</f>
        <v>0</v>
      </c>
      <c r="T86" s="303">
        <f>IF(T$45&lt;0,0,Sheet1!X95+SUMPRODUCT($F$45:$J$45,Sheet1!$W95:$AA95))</f>
        <v>0</v>
      </c>
      <c r="U86" s="303">
        <f>IF(U$45&lt;0,0,Sheet1!Y95+SUMPRODUCT($F$45:$J$45,Sheet1!$W95:$AA95))</f>
        <v>3.3018063328313474</v>
      </c>
      <c r="V86" s="303">
        <f>IF(V$45&lt;0,0,Sheet1!Z95+SUMPRODUCT($F$45:$J$45,Sheet1!$W95:$AA95))</f>
        <v>1.3160680924338521</v>
      </c>
      <c r="W86" s="303">
        <f>IF(W$45&lt;0,0,Sheet1!AA95+SUMPRODUCT($F$45:$J$45,Sheet1!$W95:$AA95))</f>
        <v>6.292958477279285</v>
      </c>
      <c r="X86" s="323" t="str">
        <f>IF(ISERROR(SUM(S86:W86)),"Clear #NUM! in Sheet1",IF(SUMIFS($S$43:$W$43,Sheet1!W95:AA95,"",$S$45:$W$45,"&lt;0")&gt;0,IF(OR(SUMIFS($S$42:$W$42,S86:W86,"")=SUM($S$42:$W$42),SUMIFS($S$42:$W$42,S86:W86,"")=SUMIFS($S$42:$W$42,$S$45:$W$45,"=0")),"","Clear all deltas"),IF(SUMIFS($S$43:$W$43,Sheet1!W95:AA95,"",$S$45:$W$45,"=0")-SUMIFS($S$43:$W$43,S86:W86,"",$S$45:$W$45,"=0")&gt;0,"Clear deltas with missing values","")))</f>
        <v/>
      </c>
      <c r="Y86" s="321"/>
      <c r="Z86" s="18"/>
      <c r="AA86" s="51"/>
      <c r="AB86" s="34"/>
      <c r="AC86" s="2"/>
    </row>
    <row r="87" spans="1:29" x14ac:dyDescent="0.2">
      <c r="A87" s="106"/>
      <c r="B87" s="298" t="str">
        <f>Sheet1!B96</f>
        <v>Exptal</v>
      </c>
      <c r="C87" s="298" t="str">
        <f>Sheet1!C96</f>
        <v>Sage</v>
      </c>
      <c r="D87" s="299"/>
      <c r="E87" s="299"/>
      <c r="F87" s="299">
        <f>IF(F$45&lt;0,0,Sheet1!F96+SUMPRODUCT($F$45:$J$45,Sheet1!$F96:$J96))</f>
        <v>0</v>
      </c>
      <c r="G87" s="299">
        <f>IF(G$45&lt;0,0,Sheet1!G96+SUMPRODUCT($F$45:$J$45,Sheet1!$F96:$J96))</f>
        <v>0</v>
      </c>
      <c r="H87" s="299">
        <f>IF(H$45&lt;0,0,Sheet1!H96+SUMPRODUCT($F$45:$J$45,Sheet1!$F96:$J96))</f>
        <v>-1.1000000000000227</v>
      </c>
      <c r="I87" s="299">
        <f>IF(I$45&lt;0,0,Sheet1!I96+SUMPRODUCT($F$45:$J$45,Sheet1!$F96:$J96))</f>
        <v>25.599999999999966</v>
      </c>
      <c r="J87" s="299">
        <f>IF(J$45&lt;0,0,Sheet1!J96+SUMPRODUCT($F$45:$J$45,Sheet1!$F96:$J96))</f>
        <v>1.8999999999999773</v>
      </c>
      <c r="K87" s="323" t="str">
        <f>IF(SUMIFS($F$43:$J$43,Sheet1!F96:J96,"",$F$45:$J$45,"&lt;0")&gt;0,IF(OR(SUMIFS($F$42:$J$42,F87:J87,"")=SUM($F$42:$J$42),SUMIFS($F$42:$J$42,F87:J87,"")=SUMIFS($F$42:$J$42,$F$45:$J$45,"=0")),"","Clear all deltas"),IF(SUMIFS($F$43:$J$43,Sheet1!F96:J96,"",$F$45:$J$45,"=0")-SUMIFS($F$43:$J$43,F87:J87,"",$F$45:$J$45,"=0")&gt;0,"Clear deltas with missing values",""))</f>
        <v/>
      </c>
      <c r="L87" s="316"/>
      <c r="M87" s="38"/>
      <c r="N87" s="106"/>
      <c r="O87" s="298" t="str">
        <f t="shared" si="54"/>
        <v>Exptal</v>
      </c>
      <c r="P87" s="298" t="str">
        <f t="shared" si="55"/>
        <v>Sage</v>
      </c>
      <c r="Q87" s="299"/>
      <c r="R87" s="302"/>
      <c r="S87" s="303">
        <f>IF(S$45&lt;0,0,Sheet1!W96+SUMPRODUCT($F$45:$J$45,Sheet1!$W96:$AA96))</f>
        <v>0</v>
      </c>
      <c r="T87" s="303">
        <f>IF(T$45&lt;0,0,Sheet1!X96+SUMPRODUCT($F$45:$J$45,Sheet1!$W96:$AA96))</f>
        <v>0</v>
      </c>
      <c r="U87" s="303">
        <f>IF(U$45&lt;0,0,Sheet1!Y96+SUMPRODUCT($F$45:$J$45,Sheet1!$W96:$AA96))</f>
        <v>-0.27503666973109375</v>
      </c>
      <c r="V87" s="303">
        <f>IF(V$45&lt;0,0,Sheet1!Z96+SUMPRODUCT($F$45:$J$45,Sheet1!$W96:$AA96))</f>
        <v>6.2706152003975149</v>
      </c>
      <c r="W87" s="303">
        <f>IF(W$45&lt;0,0,Sheet1!AA96+SUMPRODUCT($F$45:$J$45,Sheet1!$W96:$AA96))</f>
        <v>0.48216028475326311</v>
      </c>
      <c r="X87" s="323" t="str">
        <f>IF(ISERROR(SUM(S87:W87)),"Clear #NUM! in Sheet1",IF(SUMIFS($S$43:$W$43,Sheet1!W96:AA96,"",$S$45:$W$45,"&lt;0")&gt;0,IF(OR(SUMIFS($S$42:$W$42,S87:W87,"")=SUM($S$42:$W$42),SUMIFS($S$42:$W$42,S87:W87,"")=SUMIFS($S$42:$W$42,$S$45:$W$45,"=0")),"","Clear all deltas"),IF(SUMIFS($S$43:$W$43,Sheet1!W96:AA96,"",$S$45:$W$45,"=0")-SUMIFS($S$43:$W$43,S87:W87,"",$S$45:$W$45,"=0")&gt;0,"Clear deltas with missing values","")))</f>
        <v/>
      </c>
      <c r="Y87" s="321"/>
      <c r="Z87" s="18"/>
      <c r="AA87" s="51"/>
      <c r="AB87" s="34"/>
      <c r="AC87" s="2"/>
    </row>
    <row r="88" spans="1:29" x14ac:dyDescent="0.2">
      <c r="A88" s="106"/>
      <c r="B88" s="298" t="str">
        <f>Sheet1!B97</f>
        <v>Exptal</v>
      </c>
      <c r="C88" s="298" t="str">
        <f>Sheet1!C97</f>
        <v>Sam</v>
      </c>
      <c r="D88" s="299"/>
      <c r="E88" s="299"/>
      <c r="F88" s="299">
        <f>IF(F$45&lt;0,0,Sheet1!F97+SUMPRODUCT($F$45:$J$45,Sheet1!$F97:$J97))</f>
        <v>0</v>
      </c>
      <c r="G88" s="299">
        <f>IF(G$45&lt;0,0,Sheet1!G97+SUMPRODUCT($F$45:$J$45,Sheet1!$F97:$J97))</f>
        <v>0</v>
      </c>
      <c r="H88" s="299">
        <f>IF(H$45&lt;0,0,Sheet1!H97+SUMPRODUCT($F$45:$J$45,Sheet1!$F97:$J97))</f>
        <v>24.850000000000023</v>
      </c>
      <c r="I88" s="299">
        <f>IF(I$45&lt;0,0,Sheet1!I97+SUMPRODUCT($F$45:$J$45,Sheet1!$F97:$J97))</f>
        <v>13.949999999999989</v>
      </c>
      <c r="J88" s="299">
        <f>IF(J$45&lt;0,0,Sheet1!J97+SUMPRODUCT($F$45:$J$45,Sheet1!$F97:$J97))</f>
        <v>15.350000000000023</v>
      </c>
      <c r="K88" s="323" t="str">
        <f>IF(SUMIFS($F$43:$J$43,Sheet1!F97:J97,"",$F$45:$J$45,"&lt;0")&gt;0,IF(OR(SUMIFS($F$42:$J$42,F88:J88,"")=SUM($F$42:$J$42),SUMIFS($F$42:$J$42,F88:J88,"")=SUMIFS($F$42:$J$42,$F$45:$J$45,"=0")),"","Clear all deltas"),IF(SUMIFS($F$43:$J$43,Sheet1!F97:J97,"",$F$45:$J$45,"=0")-SUMIFS($F$43:$J$43,F88:J88,"",$F$45:$J$45,"=0")&gt;0,"Clear deltas with missing values",""))</f>
        <v/>
      </c>
      <c r="L88" s="316"/>
      <c r="M88" s="38"/>
      <c r="N88" s="106"/>
      <c r="O88" s="298" t="str">
        <f t="shared" si="54"/>
        <v>Exptal</v>
      </c>
      <c r="P88" s="298" t="str">
        <f t="shared" si="55"/>
        <v>Sam</v>
      </c>
      <c r="Q88" s="299"/>
      <c r="R88" s="302"/>
      <c r="S88" s="303">
        <f>IF(S$45&lt;0,0,Sheet1!W97+SUMPRODUCT($F$45:$J$45,Sheet1!$W97:$AA97))</f>
        <v>0</v>
      </c>
      <c r="T88" s="303">
        <f>IF(T$45&lt;0,0,Sheet1!X97+SUMPRODUCT($F$45:$J$45,Sheet1!$W97:$AA97))</f>
        <v>0</v>
      </c>
      <c r="U88" s="303">
        <f>IF(U$45&lt;0,0,Sheet1!Y97+SUMPRODUCT($F$45:$J$45,Sheet1!$W97:$AA97))</f>
        <v>6.1222267903249303</v>
      </c>
      <c r="V88" s="303">
        <f>IF(V$45&lt;0,0,Sheet1!Z97+SUMPRODUCT($F$45:$J$45,Sheet1!$W97:$AA97))</f>
        <v>3.4838067716556225</v>
      </c>
      <c r="W88" s="303">
        <f>IF(W$45&lt;0,0,Sheet1!AA97+SUMPRODUCT($F$45:$J$45,Sheet1!$W97:$AA97))</f>
        <v>3.8266082826702359</v>
      </c>
      <c r="X88" s="323" t="str">
        <f>IF(ISERROR(SUM(S88:W88)),"Clear #NUM! in Sheet1",IF(SUMIFS($S$43:$W$43,Sheet1!W97:AA97,"",$S$45:$W$45,"&lt;0")&gt;0,IF(OR(SUMIFS($S$42:$W$42,S88:W88,"")=SUM($S$42:$W$42),SUMIFS($S$42:$W$42,S88:W88,"")=SUMIFS($S$42:$W$42,$S$45:$W$45,"=0")),"","Clear all deltas"),IF(SUMIFS($S$43:$W$43,Sheet1!W97:AA97,"",$S$45:$W$45,"=0")-SUMIFS($S$43:$W$43,S88:W88,"",$S$45:$W$45,"=0")&gt;0,"Clear deltas with missing values","")))</f>
        <v/>
      </c>
      <c r="Y88" s="321"/>
      <c r="Z88" s="18"/>
      <c r="AA88" s="51"/>
      <c r="AB88" s="34"/>
      <c r="AC88" s="2"/>
    </row>
    <row r="89" spans="1:29" x14ac:dyDescent="0.2">
      <c r="A89" s="106"/>
      <c r="B89" s="298" t="str">
        <f>Sheet1!B98</f>
        <v>Exptal</v>
      </c>
      <c r="C89" s="298" t="str">
        <f>Sheet1!C98</f>
        <v>Sidney</v>
      </c>
      <c r="D89" s="299"/>
      <c r="E89" s="299"/>
      <c r="F89" s="299">
        <f>IF(F$45&lt;0,0,Sheet1!F98+SUMPRODUCT($F$45:$J$45,Sheet1!$F98:$J98))</f>
        <v>0</v>
      </c>
      <c r="G89" s="299">
        <f>IF(G$45&lt;0,0,Sheet1!G98+SUMPRODUCT($F$45:$J$45,Sheet1!$F98:$J98))</f>
        <v>0</v>
      </c>
      <c r="H89" s="299">
        <f>IF(H$45&lt;0,0,Sheet1!H98+SUMPRODUCT($F$45:$J$45,Sheet1!$F98:$J98))</f>
        <v>8.1499999999999773</v>
      </c>
      <c r="I89" s="299">
        <f>IF(I$45&lt;0,0,Sheet1!I98+SUMPRODUCT($F$45:$J$45,Sheet1!$F98:$J98))</f>
        <v>12.850000000000023</v>
      </c>
      <c r="J89" s="299">
        <f>IF(J$45&lt;0,0,Sheet1!J98+SUMPRODUCT($F$45:$J$45,Sheet1!$F98:$J98))</f>
        <v>-4.8500000000000227</v>
      </c>
      <c r="K89" s="323" t="str">
        <f>IF(SUMIFS($F$43:$J$43,Sheet1!F98:J98,"",$F$45:$J$45,"&lt;0")&gt;0,IF(OR(SUMIFS($F$42:$J$42,F89:J89,"")=SUM($F$42:$J$42),SUMIFS($F$42:$J$42,F89:J89,"")=SUMIFS($F$42:$J$42,$F$45:$J$45,"=0")),"","Clear all deltas"),IF(SUMIFS($F$43:$J$43,Sheet1!F98:J98,"",$F$45:$J$45,"=0")-SUMIFS($F$43:$J$43,F89:J89,"",$F$45:$J$45,"=0")&gt;0,"Clear deltas with missing values",""))</f>
        <v/>
      </c>
      <c r="L89" s="316"/>
      <c r="M89" s="38"/>
      <c r="N89" s="106"/>
      <c r="O89" s="298" t="str">
        <f t="shared" si="54"/>
        <v>Exptal</v>
      </c>
      <c r="P89" s="298" t="str">
        <f t="shared" si="55"/>
        <v>Sidney</v>
      </c>
      <c r="Q89" s="299"/>
      <c r="R89" s="302"/>
      <c r="S89" s="303">
        <f>IF(S$45&lt;0,0,Sheet1!W98+SUMPRODUCT($F$45:$J$45,Sheet1!$W98:$AA98))</f>
        <v>0</v>
      </c>
      <c r="T89" s="303">
        <f>IF(T$45&lt;0,0,Sheet1!X98+SUMPRODUCT($F$45:$J$45,Sheet1!$W98:$AA98))</f>
        <v>0</v>
      </c>
      <c r="U89" s="303">
        <f>IF(U$45&lt;0,0,Sheet1!Y98+SUMPRODUCT($F$45:$J$45,Sheet1!$W98:$AA98))</f>
        <v>1.9763030432791311</v>
      </c>
      <c r="V89" s="303">
        <f>IF(V$45&lt;0,0,Sheet1!Z98+SUMPRODUCT($F$45:$J$45,Sheet1!$W98:$AA98))</f>
        <v>3.0960288578144173</v>
      </c>
      <c r="W89" s="303">
        <f>IF(W$45&lt;0,0,Sheet1!AA98+SUMPRODUCT($F$45:$J$45,Sheet1!$W98:$AA98))</f>
        <v>-1.1877477063992501</v>
      </c>
      <c r="X89" s="323" t="str">
        <f>IF(ISERROR(SUM(S89:W89)),"Clear #NUM! in Sheet1",IF(SUMIFS($S$43:$W$43,Sheet1!W98:AA98,"",$S$45:$W$45,"&lt;0")&gt;0,IF(OR(SUMIFS($S$42:$W$42,S89:W89,"")=SUM($S$42:$W$42),SUMIFS($S$42:$W$42,S89:W89,"")=SUMIFS($S$42:$W$42,$S$45:$W$45,"=0")),"","Clear all deltas"),IF(SUMIFS($S$43:$W$43,Sheet1!W98:AA98,"",$S$45:$W$45,"=0")-SUMIFS($S$43:$W$43,S89:W89,"",$S$45:$W$45,"=0")&gt;0,"Clear deltas with missing values","")))</f>
        <v/>
      </c>
      <c r="Y89" s="321"/>
      <c r="Z89" s="18"/>
      <c r="AA89" s="51"/>
      <c r="AB89" s="34"/>
      <c r="AC89" s="2"/>
    </row>
    <row r="90" spans="1:29" x14ac:dyDescent="0.2">
      <c r="A90" s="106"/>
      <c r="B90" s="298" t="str">
        <f>Sheet1!B99</f>
        <v>Exptal</v>
      </c>
      <c r="C90" s="298" t="str">
        <f>Sheet1!C99</f>
        <v>Terry</v>
      </c>
      <c r="D90" s="299"/>
      <c r="E90" s="299"/>
      <c r="F90" s="299">
        <f>IF(F$45&lt;0,0,Sheet1!F99+SUMPRODUCT($F$45:$J$45,Sheet1!$F99:$J99))</f>
        <v>0</v>
      </c>
      <c r="G90" s="299">
        <f>IF(G$45&lt;0,0,Sheet1!G99+SUMPRODUCT($F$45:$J$45,Sheet1!$F99:$J99))</f>
        <v>0</v>
      </c>
      <c r="H90" s="299">
        <f>IF(H$45&lt;0,0,Sheet1!H99+SUMPRODUCT($F$45:$J$45,Sheet1!$F99:$J99))</f>
        <v>28.699999999999989</v>
      </c>
      <c r="I90" s="299">
        <f>IF(I$45&lt;0,0,Sheet1!I99+SUMPRODUCT($F$45:$J$45,Sheet1!$F99:$J99))</f>
        <v>15</v>
      </c>
      <c r="J90" s="299">
        <f>IF(J$45&lt;0,0,Sheet1!J99+SUMPRODUCT($F$45:$J$45,Sheet1!$F99:$J99))</f>
        <v>4.6000000000000227</v>
      </c>
      <c r="K90" s="323" t="str">
        <f>IF(SUMIFS($F$43:$J$43,Sheet1!F99:J99,"",$F$45:$J$45,"&lt;0")&gt;0,IF(OR(SUMIFS($F$42:$J$42,F90:J90,"")=SUM($F$42:$J$42),SUMIFS($F$42:$J$42,F90:J90,"")=SUMIFS($F$42:$J$42,$F$45:$J$45,"=0")),"","Clear all deltas"),IF(SUMIFS($F$43:$J$43,Sheet1!F99:J99,"",$F$45:$J$45,"=0")-SUMIFS($F$43:$J$43,F90:J90,"",$F$45:$J$45,"=0")&gt;0,"Clear deltas with missing values",""))</f>
        <v/>
      </c>
      <c r="L90" s="316"/>
      <c r="M90" s="38"/>
      <c r="N90" s="106"/>
      <c r="O90" s="298" t="str">
        <f t="shared" si="54"/>
        <v>Exptal</v>
      </c>
      <c r="P90" s="298" t="str">
        <f t="shared" si="55"/>
        <v>Terry</v>
      </c>
      <c r="Q90" s="299"/>
      <c r="R90" s="302"/>
      <c r="S90" s="303">
        <f>IF(S$45&lt;0,0,Sheet1!W99+SUMPRODUCT($F$45:$J$45,Sheet1!$W99:$AA99))</f>
        <v>0</v>
      </c>
      <c r="T90" s="303">
        <f>IF(T$45&lt;0,0,Sheet1!X99+SUMPRODUCT($F$45:$J$45,Sheet1!$W99:$AA99))</f>
        <v>0</v>
      </c>
      <c r="U90" s="303">
        <f>IF(U$45&lt;0,0,Sheet1!Y99+SUMPRODUCT($F$45:$J$45,Sheet1!$W99:$AA99))</f>
        <v>7.0319432622449085</v>
      </c>
      <c r="V90" s="303">
        <f>IF(V$45&lt;0,0,Sheet1!Z99+SUMPRODUCT($F$45:$J$45,Sheet1!$W99:$AA99))</f>
        <v>3.7411455371484408</v>
      </c>
      <c r="W90" s="303">
        <f>IF(W$45&lt;0,0,Sheet1!AA99+SUMPRODUCT($F$45:$J$45,Sheet1!$W99:$AA99))</f>
        <v>1.1686564133048023</v>
      </c>
      <c r="X90" s="323" t="str">
        <f>IF(ISERROR(SUM(S90:W90)),"Clear #NUM! in Sheet1",IF(SUMIFS($S$43:$W$43,Sheet1!W99:AA99,"",$S$45:$W$45,"&lt;0")&gt;0,IF(OR(SUMIFS($S$42:$W$42,S90:W90,"")=SUM($S$42:$W$42),SUMIFS($S$42:$W$42,S90:W90,"")=SUMIFS($S$42:$W$42,$S$45:$W$45,"=0")),"","Clear all deltas"),IF(SUMIFS($S$43:$W$43,Sheet1!W99:AA99,"",$S$45:$W$45,"=0")-SUMIFS($S$43:$W$43,S90:W90,"",$S$45:$W$45,"=0")&gt;0,"Clear deltas with missing values","")))</f>
        <v/>
      </c>
      <c r="Y90" s="321"/>
      <c r="Z90" s="18"/>
      <c r="AA90" s="51"/>
      <c r="AB90" s="34"/>
      <c r="AC90" s="2"/>
    </row>
    <row r="91" spans="1:29" x14ac:dyDescent="0.2">
      <c r="A91" s="106"/>
      <c r="B91" s="298" t="str">
        <f>Sheet1!B100</f>
        <v>Exptal</v>
      </c>
      <c r="C91" s="298" t="str">
        <f>Sheet1!C100</f>
        <v>Tristan</v>
      </c>
      <c r="D91" s="299"/>
      <c r="E91" s="299"/>
      <c r="F91" s="299">
        <f>IF(F$45&lt;0,0,Sheet1!F100+SUMPRODUCT($F$45:$J$45,Sheet1!$F100:$J100))</f>
        <v>0</v>
      </c>
      <c r="G91" s="299">
        <f>IF(G$45&lt;0,0,Sheet1!G100+SUMPRODUCT($F$45:$J$45,Sheet1!$F100:$J100))</f>
        <v>0</v>
      </c>
      <c r="H91" s="299">
        <f>IF(H$45&lt;0,0,Sheet1!H100+SUMPRODUCT($F$45:$J$45,Sheet1!$F100:$J100))</f>
        <v>14.900000000000034</v>
      </c>
      <c r="I91" s="299">
        <f>IF(I$45&lt;0,0,Sheet1!I100+SUMPRODUCT($F$45:$J$45,Sheet1!$F100:$J100))</f>
        <v>25.100000000000023</v>
      </c>
      <c r="J91" s="299">
        <f>IF(J$45&lt;0,0,Sheet1!J100+SUMPRODUCT($F$45:$J$45,Sheet1!$F100:$J100))</f>
        <v>13.800000000000011</v>
      </c>
      <c r="K91" s="323" t="str">
        <f>IF(SUMIFS($F$43:$J$43,Sheet1!F100:J100,"",$F$45:$J$45,"&lt;0")&gt;0,IF(OR(SUMIFS($F$42:$J$42,F91:J91,"")=SUM($F$42:$J$42),SUMIFS($F$42:$J$42,F91:J91,"")=SUMIFS($F$42:$J$42,$F$45:$J$45,"=0")),"","Clear all deltas"),IF(SUMIFS($F$43:$J$43,Sheet1!F100:J100,"",$F$45:$J$45,"=0")-SUMIFS($F$43:$J$43,F91:J91,"",$F$45:$J$45,"=0")&gt;0,"Clear deltas with missing values",""))</f>
        <v/>
      </c>
      <c r="L91" s="316"/>
      <c r="M91" s="38"/>
      <c r="N91" s="106"/>
      <c r="O91" s="298" t="str">
        <f t="shared" si="54"/>
        <v>Exptal</v>
      </c>
      <c r="P91" s="298" t="str">
        <f t="shared" si="55"/>
        <v>Tristan</v>
      </c>
      <c r="Q91" s="299"/>
      <c r="R91" s="302"/>
      <c r="S91" s="303">
        <f>IF(S$45&lt;0,0,Sheet1!W100+SUMPRODUCT($F$45:$J$45,Sheet1!$W100:$AA100))</f>
        <v>0</v>
      </c>
      <c r="T91" s="303">
        <f>IF(T$45&lt;0,0,Sheet1!X100+SUMPRODUCT($F$45:$J$45,Sheet1!$W100:$AA100))</f>
        <v>0</v>
      </c>
      <c r="U91" s="303">
        <f>IF(U$45&lt;0,0,Sheet1!Y100+SUMPRODUCT($F$45:$J$45,Sheet1!$W100:$AA100))</f>
        <v>3.6714259123873489</v>
      </c>
      <c r="V91" s="303">
        <f>IF(V$45&lt;0,0,Sheet1!Z100+SUMPRODUCT($F$45:$J$45,Sheet1!$W100:$AA100))</f>
        <v>6.1047520780630293</v>
      </c>
      <c r="W91" s="303">
        <f>IF(W$45&lt;0,0,Sheet1!AA100+SUMPRODUCT($F$45:$J$45,Sheet1!$W100:$AA100))</f>
        <v>3.4054361533385418</v>
      </c>
      <c r="X91" s="323" t="str">
        <f>IF(ISERROR(SUM(S91:W91)),"Clear #NUM! in Sheet1",IF(SUMIFS($S$43:$W$43,Sheet1!W100:AA100,"",$S$45:$W$45,"&lt;0")&gt;0,IF(OR(SUMIFS($S$42:$W$42,S91:W91,"")=SUM($S$42:$W$42),SUMIFS($S$42:$W$42,S91:W91,"")=SUMIFS($S$42:$W$42,$S$45:$W$45,"=0")),"","Clear all deltas"),IF(SUMIFS($S$43:$W$43,Sheet1!W100:AA100,"",$S$45:$W$45,"=0")-SUMIFS($S$43:$W$43,S91:W91,"",$S$45:$W$45,"=0")&gt;0,"Clear deltas with missing values","")))</f>
        <v/>
      </c>
      <c r="Y91" s="321"/>
      <c r="Z91" s="18"/>
      <c r="AA91" s="51"/>
      <c r="AB91" s="34"/>
      <c r="AC91" s="2"/>
    </row>
    <row r="92" spans="1:29" x14ac:dyDescent="0.2">
      <c r="A92" s="106"/>
      <c r="B92" s="298" t="str">
        <f>Sheet1!B101</f>
        <v>Exptal</v>
      </c>
      <c r="C92" s="298" t="str">
        <f>Sheet1!C101</f>
        <v>Vic</v>
      </c>
      <c r="D92" s="299"/>
      <c r="E92" s="299"/>
      <c r="F92" s="299">
        <f>IF(F$45&lt;0,0,Sheet1!F101+SUMPRODUCT($F$45:$J$45,Sheet1!$F101:$J101))</f>
        <v>0</v>
      </c>
      <c r="G92" s="299">
        <f>IF(G$45&lt;0,0,Sheet1!G101+SUMPRODUCT($F$45:$J$45,Sheet1!$F101:$J101))</f>
        <v>0</v>
      </c>
      <c r="H92" s="299">
        <f>IF(H$45&lt;0,0,Sheet1!H101+SUMPRODUCT($F$45:$J$45,Sheet1!$F101:$J101))</f>
        <v>35.349999999999966</v>
      </c>
      <c r="I92" s="299">
        <f>IF(I$45&lt;0,0,Sheet1!I101+SUMPRODUCT($F$45:$J$45,Sheet1!$F101:$J101))</f>
        <v>7.75</v>
      </c>
      <c r="J92" s="299">
        <f>IF(J$45&lt;0,0,Sheet1!J101+SUMPRODUCT($F$45:$J$45,Sheet1!$F101:$J101))</f>
        <v>13.949999999999989</v>
      </c>
      <c r="K92" s="323" t="str">
        <f>IF(SUMIFS($F$43:$J$43,Sheet1!F101:J101,"",$F$45:$J$45,"&lt;0")&gt;0,IF(OR(SUMIFS($F$42:$J$42,F92:J92,"")=SUM($F$42:$J$42),SUMIFS($F$42:$J$42,F92:J92,"")=SUMIFS($F$42:$J$42,$F$45:$J$45,"=0")),"","Clear all deltas"),IF(SUMIFS($F$43:$J$43,Sheet1!F101:J101,"",$F$45:$J$45,"=0")-SUMIFS($F$43:$J$43,F92:J92,"",$F$45:$J$45,"=0")&gt;0,"Clear deltas with missing values",""))</f>
        <v/>
      </c>
      <c r="L92" s="316"/>
      <c r="M92" s="38"/>
      <c r="N92" s="106"/>
      <c r="O92" s="298" t="str">
        <f t="shared" si="54"/>
        <v>Exptal</v>
      </c>
      <c r="P92" s="298" t="str">
        <f t="shared" si="55"/>
        <v>Vic</v>
      </c>
      <c r="Q92" s="299"/>
      <c r="R92" s="302"/>
      <c r="S92" s="303">
        <f>IF(S$45&lt;0,0,Sheet1!W101+SUMPRODUCT($F$45:$J$45,Sheet1!$W101:$AA101))</f>
        <v>0</v>
      </c>
      <c r="T92" s="303">
        <f>IF(T$45&lt;0,0,Sheet1!X101+SUMPRODUCT($F$45:$J$45,Sheet1!$W101:$AA101))</f>
        <v>0</v>
      </c>
      <c r="U92" s="303">
        <f>IF(U$45&lt;0,0,Sheet1!Y101+SUMPRODUCT($F$45:$J$45,Sheet1!$W101:$AA101))</f>
        <v>8.779532859572555</v>
      </c>
      <c r="V92" s="303">
        <f>IF(V$45&lt;0,0,Sheet1!Z101+SUMPRODUCT($F$45:$J$45,Sheet1!$W101:$AA101))</f>
        <v>1.9939370427065342</v>
      </c>
      <c r="W92" s="303">
        <f>IF(W$45&lt;0,0,Sheet1!AA101+SUMPRODUCT($F$45:$J$45,Sheet1!$W101:$AA101))</f>
        <v>3.558835206842673</v>
      </c>
      <c r="X92" s="323" t="str">
        <f>IF(ISERROR(SUM(S92:W92)),"Clear #NUM! in Sheet1",IF(SUMIFS($S$43:$W$43,Sheet1!W101:AA101,"",$S$45:$W$45,"&lt;0")&gt;0,IF(OR(SUMIFS($S$42:$W$42,S92:W92,"")=SUM($S$42:$W$42),SUMIFS($S$42:$W$42,S92:W92,"")=SUMIFS($S$42:$W$42,$S$45:$W$45,"=0")),"","Clear all deltas"),IF(SUMIFS($S$43:$W$43,Sheet1!W101:AA101,"",$S$45:$W$45,"=0")-SUMIFS($S$43:$W$43,S92:W92,"",$S$45:$W$45,"=0")&gt;0,"Clear deltas with missing values","")))</f>
        <v/>
      </c>
      <c r="Y92" s="321"/>
      <c r="Z92" s="18"/>
      <c r="AA92" s="51"/>
      <c r="AB92" s="34"/>
      <c r="AC92" s="2"/>
    </row>
    <row r="93" spans="1:29" x14ac:dyDescent="0.2">
      <c r="A93" s="106"/>
      <c r="B93" s="298" t="str">
        <f>Sheet1!B102</f>
        <v>Exptal</v>
      </c>
      <c r="C93" s="298" t="str">
        <f>Sheet1!C102</f>
        <v>Wil</v>
      </c>
      <c r="D93" s="299"/>
      <c r="E93" s="299"/>
      <c r="F93" s="299">
        <f>IF(F$45&lt;0,0,Sheet1!F102+SUMPRODUCT($F$45:$J$45,Sheet1!$F102:$J102))</f>
        <v>0</v>
      </c>
      <c r="G93" s="299">
        <f>IF(G$45&lt;0,0,Sheet1!G102+SUMPRODUCT($F$45:$J$45,Sheet1!$F102:$J102))</f>
        <v>0</v>
      </c>
      <c r="H93" s="299">
        <f>IF(H$45&lt;0,0,Sheet1!H102+SUMPRODUCT($F$45:$J$45,Sheet1!$F102:$J102))</f>
        <v>-0.94999999999998863</v>
      </c>
      <c r="I93" s="299">
        <f>IF(I$45&lt;0,0,Sheet1!I102+SUMPRODUCT($F$45:$J$45,Sheet1!$F102:$J102))</f>
        <v>4.3500000000000227</v>
      </c>
      <c r="J93" s="299">
        <f>IF(J$45&lt;0,0,Sheet1!J102+SUMPRODUCT($F$45:$J$45,Sheet1!$F102:$J102))</f>
        <v>-6.9499999999999886</v>
      </c>
      <c r="K93" s="323" t="str">
        <f>IF(SUMIFS($F$43:$J$43,Sheet1!F102:J102,"",$F$45:$J$45,"&lt;0")&gt;0,IF(OR(SUMIFS($F$42:$J$42,F93:J93,"")=SUM($F$42:$J$42),SUMIFS($F$42:$J$42,F93:J93,"")=SUMIFS($F$42:$J$42,$F$45:$J$45,"=0")),"","Clear all deltas"),IF(SUMIFS($F$43:$J$43,Sheet1!F102:J102,"",$F$45:$J$45,"=0")-SUMIFS($F$43:$J$43,F93:J93,"",$F$45:$J$45,"=0")&gt;0,"Clear deltas with missing values",""))</f>
        <v/>
      </c>
      <c r="L93" s="317"/>
      <c r="M93" s="38"/>
      <c r="N93" s="106"/>
      <c r="O93" s="298" t="str">
        <f t="shared" si="54"/>
        <v>Exptal</v>
      </c>
      <c r="P93" s="298" t="str">
        <f t="shared" si="55"/>
        <v>Wil</v>
      </c>
      <c r="Q93" s="299"/>
      <c r="R93" s="302"/>
      <c r="S93" s="303">
        <f>IF(S$45&lt;0,0,Sheet1!W102+SUMPRODUCT($F$45:$J$45,Sheet1!$W102:$AA102))</f>
        <v>0</v>
      </c>
      <c r="T93" s="303">
        <f>IF(T$45&lt;0,0,Sheet1!X102+SUMPRODUCT($F$45:$J$45,Sheet1!$W102:$AA102))</f>
        <v>0</v>
      </c>
      <c r="U93" s="303">
        <f>IF(U$45&lt;0,0,Sheet1!Y102+SUMPRODUCT($F$45:$J$45,Sheet1!$W102:$AA102))</f>
        <v>-0.23422261798793897</v>
      </c>
      <c r="V93" s="303">
        <f>IF(V$45&lt;0,0,Sheet1!Z102+SUMPRODUCT($F$45:$J$45,Sheet1!$W102:$AA102))</f>
        <v>1.0804434703420611</v>
      </c>
      <c r="W93" s="303">
        <f>IF(W$45&lt;0,0,Sheet1!AA102+SUMPRODUCT($F$45:$J$45,Sheet1!$W102:$AA102))</f>
        <v>-1.7436852402363456</v>
      </c>
      <c r="X93" s="323" t="str">
        <f>IF(ISERROR(SUM(S93:W93)),"Clear #NUM! in Sheet1",IF(SUMIFS($S$43:$W$43,Sheet1!W102:AA102,"",$S$45:$W$45,"&lt;0")&gt;0,IF(OR(SUMIFS($S$42:$W$42,S93:W93,"")=SUM($S$42:$W$42),SUMIFS($S$42:$W$42,S93:W93,"")=SUMIFS($S$42:$W$42,$S$45:$W$45,"=0")),"","Clear all deltas"),IF(SUMIFS($S$43:$W$43,Sheet1!W102:AA102,"",$S$45:$W$45,"=0")-SUMIFS($S$43:$W$43,S93:W93,"",$S$45:$W$45,"=0")&gt;0,"Clear deltas with missing values","")))</f>
        <v/>
      </c>
      <c r="Y93" s="321"/>
      <c r="Z93" s="18"/>
      <c r="AA93" s="51"/>
      <c r="AB93" s="34"/>
      <c r="AC93" s="2"/>
    </row>
    <row r="94" spans="1:29" x14ac:dyDescent="0.2">
      <c r="A94" s="106"/>
      <c r="B94" s="298" t="str">
        <f>Sheet1!B103</f>
        <v>Exptal</v>
      </c>
      <c r="C94" s="298" t="str">
        <f>Sheet1!C103</f>
        <v>Wynn</v>
      </c>
      <c r="D94" s="299"/>
      <c r="E94" s="299"/>
      <c r="F94" s="299">
        <f>IF(F$45&lt;0,0,Sheet1!F103+SUMPRODUCT($F$45:$J$45,Sheet1!$F103:$J103))</f>
        <v>0</v>
      </c>
      <c r="G94" s="299">
        <f>IF(G$45&lt;0,0,Sheet1!G103+SUMPRODUCT($F$45:$J$45,Sheet1!$F103:$J103))</f>
        <v>0</v>
      </c>
      <c r="H94" s="299">
        <f>IF(H$45&lt;0,0,Sheet1!H103+SUMPRODUCT($F$45:$J$45,Sheet1!$F103:$J103))</f>
        <v>-0.5</v>
      </c>
      <c r="I94" s="299">
        <f>IF(I$45&lt;0,0,Sheet1!I103+SUMPRODUCT($F$45:$J$45,Sheet1!$F103:$J103))</f>
        <v>-11.600000000000023</v>
      </c>
      <c r="J94" s="299">
        <f>IF(J$45&lt;0,0,Sheet1!J103+SUMPRODUCT($F$45:$J$45,Sheet1!$F103:$J103))</f>
        <v>-6.6999999999999886</v>
      </c>
      <c r="K94" s="323" t="str">
        <f>IF(SUMIFS($F$43:$J$43,Sheet1!F103:J103,"",$F$45:$J$45,"&lt;0")&gt;0,IF(OR(SUMIFS($F$42:$J$42,F94:J94,"")=SUM($F$42:$J$42),SUMIFS($F$42:$J$42,F94:J94,"")=SUMIFS($F$42:$J$42,$F$45:$J$45,"=0")),"","Clear all deltas"),IF(SUMIFS($F$43:$J$43,Sheet1!F103:J103,"",$F$45:$J$45,"=0")-SUMIFS($F$43:$J$43,F94:J94,"",$F$45:$J$45,"=0")&gt;0,"Clear deltas with missing values",""))</f>
        <v/>
      </c>
      <c r="L94" s="316"/>
      <c r="M94" s="38"/>
      <c r="N94" s="106"/>
      <c r="O94" s="298" t="str">
        <f t="shared" si="54"/>
        <v>Exptal</v>
      </c>
      <c r="P94" s="298" t="str">
        <f t="shared" si="55"/>
        <v>Wynn</v>
      </c>
      <c r="Q94" s="299"/>
      <c r="R94" s="302"/>
      <c r="S94" s="303">
        <f>IF(S$45&lt;0,0,Sheet1!W103+SUMPRODUCT($F$45:$J$45,Sheet1!$W103:$AA103))</f>
        <v>0</v>
      </c>
      <c r="T94" s="303">
        <f>IF(T$45&lt;0,0,Sheet1!X103+SUMPRODUCT($F$45:$J$45,Sheet1!$W103:$AA103))</f>
        <v>0</v>
      </c>
      <c r="U94" s="303">
        <f>IF(U$45&lt;0,0,Sheet1!Y103+SUMPRODUCT($F$45:$J$45,Sheet1!$W103:$AA103))</f>
        <v>-0.12348599296308294</v>
      </c>
      <c r="V94" s="303">
        <f>IF(V$45&lt;0,0,Sheet1!Z103+SUMPRODUCT($F$45:$J$45,Sheet1!$W103:$AA103))</f>
        <v>-2.9427203263898036</v>
      </c>
      <c r="W94" s="303">
        <f>IF(W$45&lt;0,0,Sheet1!AA103+SUMPRODUCT($F$45:$J$45,Sheet1!$W103:$AA103))</f>
        <v>-1.6883841570992217</v>
      </c>
      <c r="X94" s="323" t="str">
        <f>IF(ISERROR(SUM(S94:W94)),"Clear #NUM! in Sheet1",IF(SUMIFS($S$43:$W$43,Sheet1!W103:AA103,"",$S$45:$W$45,"&lt;0")&gt;0,IF(OR(SUMIFS($S$42:$W$42,S94:W94,"")=SUM($S$42:$W$42),SUMIFS($S$42:$W$42,S94:W94,"")=SUMIFS($S$42:$W$42,$S$45:$W$45,"=0")),"","Clear all deltas"),IF(SUMIFS($S$43:$W$43,Sheet1!W103:AA103,"",$S$45:$W$45,"=0")-SUMIFS($S$43:$W$43,S94:W94,"",$S$45:$W$45,"=0")&gt;0,"Clear deltas with missing values","")))</f>
        <v/>
      </c>
      <c r="Y94" s="321"/>
      <c r="Z94" s="18"/>
      <c r="AA94" s="51"/>
      <c r="AB94" s="34"/>
      <c r="AC94" s="2"/>
    </row>
    <row r="95" spans="1:29" x14ac:dyDescent="0.2">
      <c r="A95" s="106"/>
      <c r="B95" s="298" t="str">
        <f>Sheet1!B104</f>
        <v>Exptal</v>
      </c>
      <c r="C95" s="298" t="str">
        <f>Sheet1!C104</f>
        <v>Zane</v>
      </c>
      <c r="D95" s="299"/>
      <c r="E95" s="299"/>
      <c r="F95" s="299">
        <f>IF(F$45&lt;0,0,Sheet1!F104+SUMPRODUCT($F$45:$J$45,Sheet1!$F104:$J104))</f>
        <v>0</v>
      </c>
      <c r="G95" s="299">
        <f>IF(G$45&lt;0,0,Sheet1!G104+SUMPRODUCT($F$45:$J$45,Sheet1!$F104:$J104))</f>
        <v>0</v>
      </c>
      <c r="H95" s="299">
        <f>IF(H$45&lt;0,0,Sheet1!H104+SUMPRODUCT($F$45:$J$45,Sheet1!$F104:$J104))</f>
        <v>7.6499999999999773</v>
      </c>
      <c r="I95" s="299">
        <f>IF(I$45&lt;0,0,Sheet1!I104+SUMPRODUCT($F$45:$J$45,Sheet1!$F104:$J104))</f>
        <v>-4.5500000000000114</v>
      </c>
      <c r="J95" s="299">
        <f>IF(J$45&lt;0,0,Sheet1!J104+SUMPRODUCT($F$45:$J$45,Sheet1!$F104:$J104))</f>
        <v>-12.75</v>
      </c>
      <c r="K95" s="323" t="str">
        <f>IF(SUMIFS($F$43:$J$43,Sheet1!F104:J104,"",$F$45:$J$45,"&lt;0")&gt;0,IF(OR(SUMIFS($F$42:$J$42,F95:J95,"")=SUM($F$42:$J$42),SUMIFS($F$42:$J$42,F95:J95,"")=SUMIFS($F$42:$J$42,$F$45:$J$45,"=0")),"","Clear all deltas"),IF(SUMIFS($F$43:$J$43,Sheet1!F104:J104,"",$F$45:$J$45,"=0")-SUMIFS($F$43:$J$43,F95:J95,"",$F$45:$J$45,"=0")&gt;0,"Clear deltas with missing values",""))</f>
        <v/>
      </c>
      <c r="L95" s="316"/>
      <c r="M95" s="38"/>
      <c r="N95" s="106"/>
      <c r="O95" s="298" t="str">
        <f t="shared" si="54"/>
        <v>Exptal</v>
      </c>
      <c r="P95" s="298" t="str">
        <f t="shared" si="55"/>
        <v>Zane</v>
      </c>
      <c r="Q95" s="299"/>
      <c r="R95" s="302"/>
      <c r="S95" s="303">
        <f>IF(S$45&lt;0,0,Sheet1!W104+SUMPRODUCT($F$45:$J$45,Sheet1!$W104:$AA104))</f>
        <v>0</v>
      </c>
      <c r="T95" s="303">
        <f>IF(T$45&lt;0,0,Sheet1!X104+SUMPRODUCT($F$45:$J$45,Sheet1!$W104:$AA104))</f>
        <v>0</v>
      </c>
      <c r="U95" s="303">
        <f>IF(U$45&lt;0,0,Sheet1!Y104+SUMPRODUCT($F$45:$J$45,Sheet1!$W104:$AA104))</f>
        <v>1.838248049105573</v>
      </c>
      <c r="V95" s="303">
        <f>IF(V$45&lt;0,0,Sheet1!Z104+SUMPRODUCT($F$45:$J$45,Sheet1!$W104:$AA104))</f>
        <v>-1.0508944123002948</v>
      </c>
      <c r="W95" s="303">
        <f>IF(W$45&lt;0,0,Sheet1!AA104+SUMPRODUCT($F$45:$J$45,Sheet1!$W104:$AA104))</f>
        <v>-3.0407683678375861</v>
      </c>
      <c r="X95" s="323" t="str">
        <f>IF(ISERROR(SUM(S95:W95)),"Clear #NUM! in Sheet1",IF(SUMIFS($S$43:$W$43,Sheet1!W104:AA104,"",$S$45:$W$45,"&lt;0")&gt;0,IF(OR(SUMIFS($S$42:$W$42,S95:W95,"")=SUM($S$42:$W$42),SUMIFS($S$42:$W$42,S95:W95,"")=SUMIFS($S$42:$W$42,$S$45:$W$45,"=0")),"","Clear all deltas"),IF(SUMIFS($S$43:$W$43,Sheet1!W104:AA104,"",$S$45:$W$45,"=0")-SUMIFS($S$43:$W$43,S95:W95,"",$S$45:$W$45,"=0")&gt;0,"Clear deltas with missing values","")))</f>
        <v/>
      </c>
      <c r="Y95" s="322"/>
      <c r="Z95" s="18"/>
      <c r="AA95" s="51"/>
      <c r="AB95" s="34"/>
      <c r="AC95" s="2"/>
    </row>
    <row r="96" spans="1:29" x14ac:dyDescent="0.2">
      <c r="A96" s="106"/>
      <c r="B96" s="108"/>
      <c r="C96" s="108"/>
      <c r="D96" s="300"/>
      <c r="E96" s="109" t="s">
        <v>2</v>
      </c>
      <c r="F96" s="89">
        <f t="shared" ref="F96:J96" si="56">AVERAGE(F76:F95)</f>
        <v>0</v>
      </c>
      <c r="G96" s="89">
        <f t="shared" ref="G96:I96" si="57">AVERAGE(G76:G95)</f>
        <v>0</v>
      </c>
      <c r="H96" s="89">
        <f t="shared" si="57"/>
        <v>9.7899999999999974</v>
      </c>
      <c r="I96" s="89">
        <f t="shared" si="57"/>
        <v>4.1550000000000038</v>
      </c>
      <c r="J96" s="89">
        <f t="shared" si="56"/>
        <v>4.795000000000007</v>
      </c>
      <c r="K96" s="309"/>
      <c r="L96" s="16"/>
      <c r="M96" s="38"/>
      <c r="N96" s="106"/>
      <c r="O96" s="108"/>
      <c r="P96" s="108"/>
      <c r="Q96" s="304"/>
      <c r="R96" s="306" t="s">
        <v>2</v>
      </c>
      <c r="S96" s="292">
        <f t="shared" ref="S96:W96" si="58">AVERAGE(S76:S95)</f>
        <v>0</v>
      </c>
      <c r="T96" s="292">
        <f t="shared" ref="T96:V96" si="59">AVERAGE(T76:T95)</f>
        <v>0</v>
      </c>
      <c r="U96" s="292">
        <f t="shared" si="59"/>
        <v>2.4107015404558352</v>
      </c>
      <c r="V96" s="292">
        <f t="shared" si="59"/>
        <v>1.0346853889898511</v>
      </c>
      <c r="W96" s="292">
        <f t="shared" si="58"/>
        <v>1.201247619996326</v>
      </c>
      <c r="X96" s="18"/>
      <c r="Y96" s="18"/>
      <c r="Z96" s="18"/>
      <c r="AA96" s="113"/>
      <c r="AB96" s="34"/>
      <c r="AC96" s="2"/>
    </row>
    <row r="97" spans="1:29" x14ac:dyDescent="0.2">
      <c r="A97" s="106"/>
      <c r="B97" s="114"/>
      <c r="C97" s="114"/>
      <c r="D97" s="301"/>
      <c r="E97" s="117" t="s">
        <v>3</v>
      </c>
      <c r="F97" s="92">
        <f t="shared" ref="F97:J97" si="60">STDEV(F76:F95)</f>
        <v>0</v>
      </c>
      <c r="G97" s="92">
        <f t="shared" ref="G97:I97" si="61">STDEV(G76:G95)</f>
        <v>0</v>
      </c>
      <c r="H97" s="92">
        <f t="shared" si="61"/>
        <v>12.114178296090648</v>
      </c>
      <c r="I97" s="92">
        <f t="shared" si="61"/>
        <v>11.423140180307138</v>
      </c>
      <c r="J97" s="92">
        <f t="shared" si="60"/>
        <v>12.868002953061522</v>
      </c>
      <c r="K97" s="309"/>
      <c r="L97" s="16"/>
      <c r="M97" s="38"/>
      <c r="N97" s="106"/>
      <c r="O97" s="114"/>
      <c r="P97" s="114"/>
      <c r="Q97" s="125"/>
      <c r="R97" s="24" t="s">
        <v>3</v>
      </c>
      <c r="S97" s="293">
        <f t="shared" ref="S97:W97" si="62">STDEV(S76:S95)</f>
        <v>0</v>
      </c>
      <c r="T97" s="293">
        <f t="shared" ref="T97:V97" si="63">STDEV(T76:T95)</f>
        <v>0</v>
      </c>
      <c r="U97" s="293">
        <f t="shared" si="63"/>
        <v>2.9973543503551725</v>
      </c>
      <c r="V97" s="293">
        <f t="shared" si="63"/>
        <v>2.8171214765998522</v>
      </c>
      <c r="W97" s="293">
        <f t="shared" si="62"/>
        <v>3.2013929529718812</v>
      </c>
      <c r="X97" s="18"/>
      <c r="Y97" s="18"/>
      <c r="Z97" s="18"/>
      <c r="AA97" s="113"/>
      <c r="AB97" s="34"/>
      <c r="AC97" s="2"/>
    </row>
    <row r="98" spans="1:29" x14ac:dyDescent="0.2">
      <c r="A98" s="106"/>
      <c r="B98" s="114"/>
      <c r="C98" s="114"/>
      <c r="D98" s="114"/>
      <c r="E98" s="115" t="s">
        <v>37</v>
      </c>
      <c r="F98" s="94">
        <f t="shared" ref="F98:J98" si="64">COUNT(F76:F95)</f>
        <v>20</v>
      </c>
      <c r="G98" s="94">
        <f t="shared" si="64"/>
        <v>20</v>
      </c>
      <c r="H98" s="94">
        <f t="shared" si="64"/>
        <v>20</v>
      </c>
      <c r="I98" s="94">
        <f t="shared" si="64"/>
        <v>20</v>
      </c>
      <c r="J98" s="94">
        <f t="shared" si="64"/>
        <v>20</v>
      </c>
      <c r="K98" s="16"/>
      <c r="L98" s="16"/>
      <c r="M98" s="38"/>
      <c r="N98" s="106"/>
      <c r="O98" s="114"/>
      <c r="P98" s="114"/>
      <c r="Q98" s="305"/>
      <c r="R98" s="24" t="s">
        <v>37</v>
      </c>
      <c r="S98" s="94">
        <f t="shared" ref="S98:W98" si="65">COUNT(S76:S95)</f>
        <v>20</v>
      </c>
      <c r="T98" s="94">
        <f t="shared" si="65"/>
        <v>20</v>
      </c>
      <c r="U98" s="94">
        <f t="shared" si="65"/>
        <v>20</v>
      </c>
      <c r="V98" s="94">
        <f t="shared" si="65"/>
        <v>20</v>
      </c>
      <c r="W98" s="94">
        <f t="shared" si="65"/>
        <v>20</v>
      </c>
      <c r="X98" s="18"/>
      <c r="Y98" s="18"/>
      <c r="Z98" s="18"/>
      <c r="AA98" s="113"/>
      <c r="AB98" s="34"/>
      <c r="AC98" s="2"/>
    </row>
    <row r="99" spans="1:29" ht="15" customHeight="1" x14ac:dyDescent="0.2">
      <c r="A99" s="106"/>
      <c r="B99" s="114"/>
      <c r="C99" s="18"/>
      <c r="D99" s="18"/>
      <c r="E99" s="18"/>
      <c r="F99" s="18"/>
      <c r="G99" s="16"/>
      <c r="H99" s="16"/>
      <c r="I99" s="16"/>
      <c r="J99" s="16"/>
      <c r="K99" s="16"/>
      <c r="L99" s="16"/>
      <c r="M99" s="38"/>
      <c r="N99" s="106"/>
      <c r="O99" s="114"/>
      <c r="P99" s="114"/>
      <c r="Q99" s="310"/>
      <c r="R99" s="307" t="s">
        <v>191</v>
      </c>
      <c r="S99" s="95">
        <f t="shared" ref="S99:W100" si="66">100*EXP(S96/100)-100</f>
        <v>0</v>
      </c>
      <c r="T99" s="95">
        <f t="shared" ref="T99:V99" si="67">100*EXP(T96/100)-100</f>
        <v>0</v>
      </c>
      <c r="U99" s="95">
        <f t="shared" si="67"/>
        <v>2.4399938598823354</v>
      </c>
      <c r="V99" s="95">
        <f t="shared" si="67"/>
        <v>1.0400567679005519</v>
      </c>
      <c r="W99" s="95">
        <f t="shared" si="66"/>
        <v>1.20849157610985</v>
      </c>
      <c r="X99" s="107"/>
      <c r="Y99" s="18"/>
      <c r="Z99" s="18"/>
      <c r="AA99" s="113"/>
      <c r="AB99" s="34"/>
      <c r="AC99" s="2"/>
    </row>
    <row r="100" spans="1:29" x14ac:dyDescent="0.2">
      <c r="A100" s="106"/>
      <c r="B100" s="124"/>
      <c r="C100" s="18"/>
      <c r="D100" s="18"/>
      <c r="E100" s="18"/>
      <c r="F100" s="18"/>
      <c r="G100" s="16"/>
      <c r="H100" s="16"/>
      <c r="I100" s="16"/>
      <c r="J100" s="16"/>
      <c r="K100" s="16"/>
      <c r="L100" s="16"/>
      <c r="M100" s="38"/>
      <c r="N100" s="106"/>
      <c r="O100" s="114"/>
      <c r="P100" s="114"/>
      <c r="Q100" s="311"/>
      <c r="R100" s="308" t="s">
        <v>7</v>
      </c>
      <c r="S100" s="98">
        <f t="shared" si="66"/>
        <v>0</v>
      </c>
      <c r="T100" s="98">
        <f t="shared" ref="T100:V100" si="68">100*EXP(T97/100)-100</f>
        <v>0</v>
      </c>
      <c r="U100" s="98">
        <f t="shared" si="68"/>
        <v>3.0427272097427505</v>
      </c>
      <c r="V100" s="98">
        <f t="shared" si="68"/>
        <v>2.8571776022198208</v>
      </c>
      <c r="W100" s="98">
        <f t="shared" si="66"/>
        <v>3.2531887888564768</v>
      </c>
      <c r="X100" s="107"/>
      <c r="Y100" s="18"/>
      <c r="Z100" s="18"/>
      <c r="AA100" s="113"/>
      <c r="AB100" s="34"/>
      <c r="AC100" s="2"/>
    </row>
    <row r="101" spans="1:29" x14ac:dyDescent="0.2">
      <c r="A101" s="106"/>
      <c r="B101" s="18"/>
      <c r="C101" s="18"/>
      <c r="D101" s="18"/>
      <c r="E101" s="18"/>
      <c r="F101" s="18"/>
      <c r="G101" s="18"/>
      <c r="H101" s="18"/>
      <c r="I101" s="18"/>
      <c r="J101" s="18"/>
      <c r="K101" s="18"/>
      <c r="L101" s="18"/>
      <c r="M101" s="18"/>
      <c r="N101" s="106"/>
      <c r="O101" s="114"/>
      <c r="P101" s="114"/>
      <c r="Q101" s="312"/>
      <c r="R101" s="307" t="s">
        <v>192</v>
      </c>
      <c r="S101" s="89">
        <f t="shared" ref="S101:W102" si="69">EXP(S96/100)</f>
        <v>1</v>
      </c>
      <c r="T101" s="89">
        <f t="shared" ref="T101:V101" si="70">EXP(T96/100)</f>
        <v>1</v>
      </c>
      <c r="U101" s="89">
        <f t="shared" si="70"/>
        <v>1.0243999385988234</v>
      </c>
      <c r="V101" s="89">
        <f t="shared" si="70"/>
        <v>1.0104005676790055</v>
      </c>
      <c r="W101" s="89">
        <f t="shared" si="69"/>
        <v>1.0120849157610985</v>
      </c>
      <c r="X101" s="107"/>
      <c r="Y101" s="18"/>
      <c r="Z101" s="18"/>
      <c r="AA101" s="113"/>
      <c r="AB101" s="34"/>
    </row>
    <row r="102" spans="1:29" x14ac:dyDescent="0.2">
      <c r="A102" s="106"/>
      <c r="B102" s="18"/>
      <c r="C102" s="18"/>
      <c r="D102" s="18"/>
      <c r="E102" s="18"/>
      <c r="F102" s="18"/>
      <c r="G102" s="18"/>
      <c r="H102" s="18"/>
      <c r="I102" s="18"/>
      <c r="J102" s="18"/>
      <c r="K102" s="18"/>
      <c r="L102" s="18"/>
      <c r="M102" s="18"/>
      <c r="N102" s="106"/>
      <c r="O102" s="114"/>
      <c r="P102" s="114"/>
      <c r="Q102" s="311"/>
      <c r="R102" s="308" t="s">
        <v>8</v>
      </c>
      <c r="S102" s="92">
        <f t="shared" si="69"/>
        <v>1</v>
      </c>
      <c r="T102" s="92">
        <f t="shared" ref="T102:V102" si="71">EXP(T97/100)</f>
        <v>1</v>
      </c>
      <c r="U102" s="92">
        <f t="shared" si="71"/>
        <v>1.0304272720974275</v>
      </c>
      <c r="V102" s="92">
        <f t="shared" si="71"/>
        <v>1.0285717760221982</v>
      </c>
      <c r="W102" s="92">
        <f t="shared" si="69"/>
        <v>1.0325318878885648</v>
      </c>
      <c r="X102" s="107"/>
      <c r="Y102" s="18"/>
      <c r="Z102" s="18"/>
      <c r="AA102" s="113"/>
      <c r="AB102" s="34"/>
    </row>
  </sheetData>
  <mergeCells count="4">
    <mergeCell ref="B44:C45"/>
    <mergeCell ref="O44:P45"/>
    <mergeCell ref="B10:F10"/>
    <mergeCell ref="B11:F40"/>
  </mergeCells>
  <pageMargins left="0.75" right="0.75" top="1" bottom="1" header="0.5" footer="0.5"/>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Time-series deltas</vt:lpstr>
    </vt:vector>
  </TitlesOfParts>
  <Company>A New View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Analysis of controlled trials</dc:title>
  <dc:creator>Will Hopkins</dc:creator>
  <cp:lastModifiedBy>Will</cp:lastModifiedBy>
  <dcterms:created xsi:type="dcterms:W3CDTF">2003-10-13T20:09:38Z</dcterms:created>
  <dcterms:modified xsi:type="dcterms:W3CDTF">2022-08-11T03:18:19Z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7b5bc8-4a79-44ba-b8ca-7bdfc58e533a_Enabled">
    <vt:lpwstr>true</vt:lpwstr>
  </property>
  <property fmtid="{D5CDD505-2E9C-101B-9397-08002B2CF9AE}" pid="3" name="MSIP_Label_6e7b5bc8-4a79-44ba-b8ca-7bdfc58e533a_SetDate">
    <vt:lpwstr>2020-10-13T20:11:15Z</vt:lpwstr>
  </property>
  <property fmtid="{D5CDD505-2E9C-101B-9397-08002B2CF9AE}" pid="4" name="MSIP_Label_6e7b5bc8-4a79-44ba-b8ca-7bdfc58e533a_Method">
    <vt:lpwstr>Privileged</vt:lpwstr>
  </property>
  <property fmtid="{D5CDD505-2E9C-101B-9397-08002B2CF9AE}" pid="5" name="MSIP_Label_6e7b5bc8-4a79-44ba-b8ca-7bdfc58e533a_Name">
    <vt:lpwstr>Public</vt:lpwstr>
  </property>
  <property fmtid="{D5CDD505-2E9C-101B-9397-08002B2CF9AE}" pid="6" name="MSIP_Label_6e7b5bc8-4a79-44ba-b8ca-7bdfc58e533a_SiteId">
    <vt:lpwstr>d51ba343-9258-4ea6-9907-426d8c84ec12</vt:lpwstr>
  </property>
  <property fmtid="{D5CDD505-2E9C-101B-9397-08002B2CF9AE}" pid="7" name="MSIP_Label_6e7b5bc8-4a79-44ba-b8ca-7bdfc58e533a_ActionId">
    <vt:lpwstr>5fa4362d-3845-443a-a52a-2cf8b8c8f94b</vt:lpwstr>
  </property>
  <property fmtid="{D5CDD505-2E9C-101B-9397-08002B2CF9AE}" pid="8" name="MSIP_Label_6e7b5bc8-4a79-44ba-b8ca-7bdfc58e533a_ContentBits">
    <vt:lpwstr>0</vt:lpwstr>
  </property>
</Properties>
</file>