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0" windowWidth="4068" windowHeight="4212" tabRatio="768"/>
  </bookViews>
  <sheets>
    <sheet name="1-way" sheetId="36" r:id="rId1"/>
    <sheet name="2-way" sheetId="37" r:id="rId2"/>
    <sheet name="2-way for ANOVA" sheetId="34" r:id="rId3"/>
    <sheet name="2-way for mixed model" sheetId="29" r:id="rId4"/>
    <sheet name="1-way missing data" sheetId="38" r:id="rId5"/>
    <sheet name="2-way missing data" sheetId="39" r:id="rId6"/>
    <sheet name="2-way missing for ANOVA" sheetId="35" r:id="rId7"/>
    <sheet name="2-way missing for mixed model" sheetId="33" r:id="rId8"/>
  </sheets>
  <calcPr calcId="145621"/>
</workbook>
</file>

<file path=xl/calcChain.xml><?xml version="1.0" encoding="utf-8"?>
<calcChain xmlns="http://schemas.openxmlformats.org/spreadsheetml/2006/main">
  <c r="U85" i="39" l="1"/>
  <c r="U84" i="39"/>
  <c r="G57" i="39"/>
  <c r="G58" i="39" s="1"/>
  <c r="Q39" i="39"/>
  <c r="P38" i="39"/>
  <c r="N38" i="39"/>
  <c r="M38" i="39"/>
  <c r="L38" i="39"/>
  <c r="K38" i="39"/>
  <c r="J38" i="39"/>
  <c r="I38" i="39"/>
  <c r="H38" i="39"/>
  <c r="G38" i="39"/>
  <c r="F38" i="39"/>
  <c r="E38" i="39"/>
  <c r="AE35" i="39"/>
  <c r="AD35" i="39"/>
  <c r="AC35" i="39"/>
  <c r="AB35" i="39"/>
  <c r="AA35" i="39"/>
  <c r="Z35" i="39"/>
  <c r="Y35" i="39"/>
  <c r="X35" i="39"/>
  <c r="W35" i="39"/>
  <c r="V35" i="39"/>
  <c r="P35" i="39"/>
  <c r="AE34" i="39"/>
  <c r="AD34" i="39"/>
  <c r="AC34" i="39"/>
  <c r="AB34" i="39"/>
  <c r="AA34" i="39"/>
  <c r="Z34" i="39"/>
  <c r="Y34" i="39"/>
  <c r="X34" i="39"/>
  <c r="W34" i="39"/>
  <c r="V34" i="39"/>
  <c r="P34" i="39"/>
  <c r="AE33" i="39"/>
  <c r="AD33" i="39"/>
  <c r="AC33" i="39"/>
  <c r="AB33" i="39"/>
  <c r="AA33" i="39"/>
  <c r="Z33" i="39"/>
  <c r="Y33" i="39"/>
  <c r="X33" i="39"/>
  <c r="W33" i="39"/>
  <c r="V33" i="39"/>
  <c r="P33" i="39"/>
  <c r="AE32" i="39"/>
  <c r="AD32" i="39"/>
  <c r="AC32" i="39"/>
  <c r="AB32" i="39"/>
  <c r="AA32" i="39"/>
  <c r="Z32" i="39"/>
  <c r="Y32" i="39"/>
  <c r="X32" i="39"/>
  <c r="W32" i="39"/>
  <c r="V32" i="39"/>
  <c r="P32" i="39"/>
  <c r="AE31" i="39"/>
  <c r="AD31" i="39"/>
  <c r="AC31" i="39"/>
  <c r="AB31" i="39"/>
  <c r="AA31" i="39"/>
  <c r="Z31" i="39"/>
  <c r="Y31" i="39"/>
  <c r="X31" i="39"/>
  <c r="W31" i="39"/>
  <c r="V31" i="39"/>
  <c r="P31" i="39"/>
  <c r="AE30" i="39"/>
  <c r="AD30" i="39"/>
  <c r="AC30" i="39"/>
  <c r="AB30" i="39"/>
  <c r="AA30" i="39"/>
  <c r="Z30" i="39"/>
  <c r="Y30" i="39"/>
  <c r="X30" i="39"/>
  <c r="W30" i="39"/>
  <c r="V30" i="39"/>
  <c r="P30" i="39"/>
  <c r="AE29" i="39"/>
  <c r="AD29" i="39"/>
  <c r="AC29" i="39"/>
  <c r="AB29" i="39"/>
  <c r="AA29" i="39"/>
  <c r="Z29" i="39"/>
  <c r="Y29" i="39"/>
  <c r="X29" i="39"/>
  <c r="W29" i="39"/>
  <c r="V29" i="39"/>
  <c r="P29" i="39"/>
  <c r="AE28" i="39"/>
  <c r="AD28" i="39"/>
  <c r="AC28" i="39"/>
  <c r="AB28" i="39"/>
  <c r="AA28" i="39"/>
  <c r="Z28" i="39"/>
  <c r="Y28" i="39"/>
  <c r="X28" i="39"/>
  <c r="W28" i="39"/>
  <c r="V28" i="39"/>
  <c r="P28" i="39"/>
  <c r="AE27" i="39"/>
  <c r="AD27" i="39"/>
  <c r="AC27" i="39"/>
  <c r="AB27" i="39"/>
  <c r="AA27" i="39"/>
  <c r="Z27" i="39"/>
  <c r="Y27" i="39"/>
  <c r="X27" i="39"/>
  <c r="W27" i="39"/>
  <c r="V27" i="39"/>
  <c r="P27" i="39"/>
  <c r="AE26" i="39"/>
  <c r="AD26" i="39"/>
  <c r="AC26" i="39"/>
  <c r="AB26" i="39"/>
  <c r="AA26" i="39"/>
  <c r="Z26" i="39"/>
  <c r="Y26" i="39"/>
  <c r="X26" i="39"/>
  <c r="W26" i="39"/>
  <c r="V26" i="39"/>
  <c r="P26" i="39"/>
  <c r="AE25" i="39"/>
  <c r="AD25" i="39"/>
  <c r="AC25" i="39"/>
  <c r="AB25" i="39"/>
  <c r="AA25" i="39"/>
  <c r="Z25" i="39"/>
  <c r="Y25" i="39"/>
  <c r="X25" i="39"/>
  <c r="W25" i="39"/>
  <c r="V25" i="39"/>
  <c r="P25" i="39"/>
  <c r="AE24" i="39"/>
  <c r="AD24" i="39"/>
  <c r="AC24" i="39"/>
  <c r="AB24" i="39"/>
  <c r="AA24" i="39"/>
  <c r="Z24" i="39"/>
  <c r="Y24" i="39"/>
  <c r="X24" i="39"/>
  <c r="W24" i="39"/>
  <c r="V24" i="39"/>
  <c r="P24" i="39"/>
  <c r="AE23" i="39"/>
  <c r="AD23" i="39"/>
  <c r="AC23" i="39"/>
  <c r="AB23" i="39"/>
  <c r="AA23" i="39"/>
  <c r="Z23" i="39"/>
  <c r="Y23" i="39"/>
  <c r="X23" i="39"/>
  <c r="W23" i="39"/>
  <c r="V23" i="39"/>
  <c r="P23" i="39"/>
  <c r="AE22" i="39"/>
  <c r="AD22" i="39"/>
  <c r="AC22" i="39"/>
  <c r="AB22" i="39"/>
  <c r="AA22" i="39"/>
  <c r="Z22" i="39"/>
  <c r="Y22" i="39"/>
  <c r="X22" i="39"/>
  <c r="W22" i="39"/>
  <c r="V22" i="39"/>
  <c r="P22" i="39"/>
  <c r="AE21" i="39"/>
  <c r="AD21" i="39"/>
  <c r="AC21" i="39"/>
  <c r="AB21" i="39"/>
  <c r="AA21" i="39"/>
  <c r="Z21" i="39"/>
  <c r="Y21" i="39"/>
  <c r="X21" i="39"/>
  <c r="W21" i="39"/>
  <c r="V21" i="39"/>
  <c r="AG21" i="39" s="1"/>
  <c r="P21" i="39"/>
  <c r="AE20" i="39"/>
  <c r="AD20" i="39"/>
  <c r="AC20" i="39"/>
  <c r="AB20" i="39"/>
  <c r="AA20" i="39"/>
  <c r="Z20" i="39"/>
  <c r="Y20" i="39"/>
  <c r="X20" i="39"/>
  <c r="W20" i="39"/>
  <c r="V20" i="39"/>
  <c r="P20" i="39"/>
  <c r="AE19" i="39"/>
  <c r="AD19" i="39"/>
  <c r="AC19" i="39"/>
  <c r="AB19" i="39"/>
  <c r="AA19" i="39"/>
  <c r="Z19" i="39"/>
  <c r="Y19" i="39"/>
  <c r="X19" i="39"/>
  <c r="W19" i="39"/>
  <c r="V19" i="39"/>
  <c r="P19" i="39"/>
  <c r="AE18" i="39"/>
  <c r="AD18" i="39"/>
  <c r="AC18" i="39"/>
  <c r="AB18" i="39"/>
  <c r="AA18" i="39"/>
  <c r="Z18" i="39"/>
  <c r="Y18" i="39"/>
  <c r="X18" i="39"/>
  <c r="W18" i="39"/>
  <c r="V18" i="39"/>
  <c r="P18" i="39"/>
  <c r="AE17" i="39"/>
  <c r="AD17" i="39"/>
  <c r="AC17" i="39"/>
  <c r="AB17" i="39"/>
  <c r="AA17" i="39"/>
  <c r="Z17" i="39"/>
  <c r="Y17" i="39"/>
  <c r="X17" i="39"/>
  <c r="W17" i="39"/>
  <c r="V17" i="39"/>
  <c r="AG17" i="39" s="1"/>
  <c r="P17" i="39"/>
  <c r="AE16" i="39"/>
  <c r="AE38" i="39" s="1"/>
  <c r="AD16" i="39"/>
  <c r="AC16" i="39"/>
  <c r="AC38" i="39" s="1"/>
  <c r="AB16" i="39"/>
  <c r="AB38" i="39" s="1"/>
  <c r="AA16" i="39"/>
  <c r="AA38" i="39" s="1"/>
  <c r="Z16" i="39"/>
  <c r="Y16" i="39"/>
  <c r="Y38" i="39" s="1"/>
  <c r="X16" i="39"/>
  <c r="X38" i="39" s="1"/>
  <c r="W16" i="39"/>
  <c r="V16" i="39"/>
  <c r="P16" i="39"/>
  <c r="AE15" i="39"/>
  <c r="AD15" i="39"/>
  <c r="AC15" i="39"/>
  <c r="AB15" i="39"/>
  <c r="AA15" i="39"/>
  <c r="Z15" i="39"/>
  <c r="Y15" i="39"/>
  <c r="X15" i="39"/>
  <c r="W15" i="39"/>
  <c r="V15" i="39"/>
  <c r="M13" i="39"/>
  <c r="J13" i="39"/>
  <c r="G13" i="39"/>
  <c r="G12" i="39"/>
  <c r="H12" i="39" s="1"/>
  <c r="I12" i="39" s="1"/>
  <c r="J12" i="39" s="1"/>
  <c r="K12" i="39" s="1"/>
  <c r="L12" i="39" s="1"/>
  <c r="M12" i="39" s="1"/>
  <c r="N12" i="39" s="1"/>
  <c r="F12" i="39"/>
  <c r="D11" i="39"/>
  <c r="U87" i="38"/>
  <c r="G69" i="38"/>
  <c r="G70" i="38" s="1"/>
  <c r="Q57" i="38"/>
  <c r="P56" i="38"/>
  <c r="N56" i="38"/>
  <c r="M56" i="38"/>
  <c r="L56" i="38"/>
  <c r="K56" i="38"/>
  <c r="J56" i="38"/>
  <c r="I56" i="38"/>
  <c r="H56" i="38"/>
  <c r="G56" i="38"/>
  <c r="F56" i="38"/>
  <c r="E56" i="38"/>
  <c r="AE53" i="38"/>
  <c r="AD53" i="38"/>
  <c r="AC53" i="38"/>
  <c r="AB53" i="38"/>
  <c r="AA53" i="38"/>
  <c r="Z53" i="38"/>
  <c r="Y53" i="38"/>
  <c r="X53" i="38"/>
  <c r="AG53" i="38" s="1"/>
  <c r="W53" i="38"/>
  <c r="V53" i="38"/>
  <c r="S53" i="38"/>
  <c r="R53" i="38"/>
  <c r="P53" i="38"/>
  <c r="AE52" i="38"/>
  <c r="AD52" i="38"/>
  <c r="AC52" i="38"/>
  <c r="AB52" i="38"/>
  <c r="AA52" i="38"/>
  <c r="Z52" i="38"/>
  <c r="Y52" i="38"/>
  <c r="X52" i="38"/>
  <c r="W52" i="38"/>
  <c r="V52" i="38"/>
  <c r="S52" i="38"/>
  <c r="P52" i="38"/>
  <c r="R52" i="38" s="1"/>
  <c r="AE51" i="38"/>
  <c r="AD51" i="38"/>
  <c r="AC51" i="38"/>
  <c r="AB51" i="38"/>
  <c r="AA51" i="38"/>
  <c r="Z51" i="38"/>
  <c r="Y51" i="38"/>
  <c r="X51" i="38"/>
  <c r="W51" i="38"/>
  <c r="V51" i="38"/>
  <c r="AJ51" i="38" s="1"/>
  <c r="S51" i="38"/>
  <c r="P51" i="38"/>
  <c r="AE50" i="38"/>
  <c r="AD50" i="38"/>
  <c r="AC50" i="38"/>
  <c r="AB50" i="38"/>
  <c r="AA50" i="38"/>
  <c r="Z50" i="38"/>
  <c r="Y50" i="38"/>
  <c r="X50" i="38"/>
  <c r="W50" i="38"/>
  <c r="V50" i="38"/>
  <c r="S50" i="38"/>
  <c r="R50" i="38"/>
  <c r="P50" i="38"/>
  <c r="AE49" i="38"/>
  <c r="AD49" i="38"/>
  <c r="AC49" i="38"/>
  <c r="AB49" i="38"/>
  <c r="AA49" i="38"/>
  <c r="Z49" i="38"/>
  <c r="Y49" i="38"/>
  <c r="X49" i="38"/>
  <c r="W49" i="38"/>
  <c r="V49" i="38"/>
  <c r="S49" i="38"/>
  <c r="P49" i="38"/>
  <c r="R49" i="38" s="1"/>
  <c r="AE48" i="38"/>
  <c r="AD48" i="38"/>
  <c r="AC48" i="38"/>
  <c r="AB48" i="38"/>
  <c r="AA48" i="38"/>
  <c r="Z48" i="38"/>
  <c r="Y48" i="38"/>
  <c r="X48" i="38"/>
  <c r="AG48" i="38" s="1"/>
  <c r="W48" i="38"/>
  <c r="V48" i="38"/>
  <c r="S48" i="38"/>
  <c r="R48" i="38"/>
  <c r="P48" i="38"/>
  <c r="AE47" i="38"/>
  <c r="AD47" i="38"/>
  <c r="AC47" i="38"/>
  <c r="AB47" i="38"/>
  <c r="AA47" i="38"/>
  <c r="Z47" i="38"/>
  <c r="Y47" i="38"/>
  <c r="X47" i="38"/>
  <c r="W47" i="38"/>
  <c r="V47" i="38"/>
  <c r="S47" i="38"/>
  <c r="P47" i="38"/>
  <c r="AE46" i="38"/>
  <c r="AD46" i="38"/>
  <c r="AC46" i="38"/>
  <c r="AB46" i="38"/>
  <c r="AA46" i="38"/>
  <c r="Z46" i="38"/>
  <c r="Y46" i="38"/>
  <c r="X46" i="38"/>
  <c r="W46" i="38"/>
  <c r="V46" i="38"/>
  <c r="S46" i="38"/>
  <c r="P46" i="38"/>
  <c r="R46" i="38" s="1"/>
  <c r="AE45" i="38"/>
  <c r="AD45" i="38"/>
  <c r="AC45" i="38"/>
  <c r="AB45" i="38"/>
  <c r="AA45" i="38"/>
  <c r="Z45" i="38"/>
  <c r="Y45" i="38"/>
  <c r="X45" i="38"/>
  <c r="W45" i="38"/>
  <c r="V45" i="38"/>
  <c r="S45" i="38"/>
  <c r="R45" i="38"/>
  <c r="P45" i="38"/>
  <c r="AE44" i="38"/>
  <c r="AD44" i="38"/>
  <c r="AC44" i="38"/>
  <c r="AB44" i="38"/>
  <c r="AA44" i="38"/>
  <c r="Z44" i="38"/>
  <c r="Y44" i="38"/>
  <c r="X44" i="38"/>
  <c r="W44" i="38"/>
  <c r="V44" i="38"/>
  <c r="S44" i="38"/>
  <c r="P44" i="38"/>
  <c r="R44" i="38" s="1"/>
  <c r="AE43" i="38"/>
  <c r="AD43" i="38"/>
  <c r="AC43" i="38"/>
  <c r="AB43" i="38"/>
  <c r="AA43" i="38"/>
  <c r="Z43" i="38"/>
  <c r="Y43" i="38"/>
  <c r="X43" i="38"/>
  <c r="AG43" i="38" s="1"/>
  <c r="W43" i="38"/>
  <c r="V43" i="38"/>
  <c r="S43" i="38"/>
  <c r="R43" i="38"/>
  <c r="P43" i="38"/>
  <c r="AE42" i="38"/>
  <c r="AD42" i="38"/>
  <c r="AC42" i="38"/>
  <c r="AB42" i="38"/>
  <c r="AA42" i="38"/>
  <c r="Z42" i="38"/>
  <c r="Y42" i="38"/>
  <c r="X42" i="38"/>
  <c r="W42" i="38"/>
  <c r="V42" i="38"/>
  <c r="S42" i="38"/>
  <c r="P42" i="38"/>
  <c r="R42" i="38" s="1"/>
  <c r="AE41" i="38"/>
  <c r="AD41" i="38"/>
  <c r="AC41" i="38"/>
  <c r="AB41" i="38"/>
  <c r="AA41" i="38"/>
  <c r="Z41" i="38"/>
  <c r="Y41" i="38"/>
  <c r="X41" i="38"/>
  <c r="W41" i="38"/>
  <c r="V41" i="38"/>
  <c r="S41" i="38"/>
  <c r="R41" i="38"/>
  <c r="P41" i="38"/>
  <c r="AE40" i="38"/>
  <c r="AD40" i="38"/>
  <c r="AC40" i="38"/>
  <c r="AB40" i="38"/>
  <c r="AA40" i="38"/>
  <c r="Z40" i="38"/>
  <c r="Y40" i="38"/>
  <c r="X40" i="38"/>
  <c r="W40" i="38"/>
  <c r="V40" i="38"/>
  <c r="S40" i="38"/>
  <c r="P40" i="38"/>
  <c r="R40" i="38" s="1"/>
  <c r="AE39" i="38"/>
  <c r="AD39" i="38"/>
  <c r="AC39" i="38"/>
  <c r="AB39" i="38"/>
  <c r="AA39" i="38"/>
  <c r="Z39" i="38"/>
  <c r="Y39" i="38"/>
  <c r="X39" i="38"/>
  <c r="AG39" i="38" s="1"/>
  <c r="W39" i="38"/>
  <c r="V39" i="38"/>
  <c r="S39" i="38"/>
  <c r="R39" i="38"/>
  <c r="P39" i="38"/>
  <c r="AE38" i="38"/>
  <c r="AD38" i="38"/>
  <c r="AC38" i="38"/>
  <c r="AB38" i="38"/>
  <c r="AA38" i="38"/>
  <c r="Z38" i="38"/>
  <c r="Y38" i="38"/>
  <c r="X38" i="38"/>
  <c r="W38" i="38"/>
  <c r="V38" i="38"/>
  <c r="S38" i="38"/>
  <c r="P38" i="38"/>
  <c r="R38" i="38" s="1"/>
  <c r="AE37" i="38"/>
  <c r="AD37" i="38"/>
  <c r="AC37" i="38"/>
  <c r="AB37" i="38"/>
  <c r="AA37" i="38"/>
  <c r="Z37" i="38"/>
  <c r="Y37" i="38"/>
  <c r="X37" i="38"/>
  <c r="W37" i="38"/>
  <c r="V37" i="38"/>
  <c r="S37" i="38"/>
  <c r="P37" i="38"/>
  <c r="R37" i="38" s="1"/>
  <c r="AE36" i="38"/>
  <c r="AD36" i="38"/>
  <c r="AC36" i="38"/>
  <c r="AB36" i="38"/>
  <c r="AA36" i="38"/>
  <c r="Z36" i="38"/>
  <c r="Y36" i="38"/>
  <c r="X36" i="38"/>
  <c r="X56" i="38" s="1"/>
  <c r="W36" i="38"/>
  <c r="V36" i="38"/>
  <c r="S36" i="38"/>
  <c r="P36" i="38"/>
  <c r="R36" i="38" s="1"/>
  <c r="AE35" i="38"/>
  <c r="AD35" i="38"/>
  <c r="AC35" i="38"/>
  <c r="AB35" i="38"/>
  <c r="AA35" i="38"/>
  <c r="Z35" i="38"/>
  <c r="Y35" i="38"/>
  <c r="X35" i="38"/>
  <c r="AG35" i="38" s="1"/>
  <c r="W35" i="38"/>
  <c r="V35" i="38"/>
  <c r="S35" i="38"/>
  <c r="R35" i="38"/>
  <c r="P35" i="38"/>
  <c r="AE34" i="38"/>
  <c r="AE56" i="38" s="1"/>
  <c r="AD34" i="38"/>
  <c r="AD56" i="38" s="1"/>
  <c r="AC34" i="38"/>
  <c r="AC56" i="38" s="1"/>
  <c r="AB34" i="38"/>
  <c r="AB56" i="38" s="1"/>
  <c r="AA34" i="38"/>
  <c r="AA56" i="38" s="1"/>
  <c r="Z34" i="38"/>
  <c r="Z56" i="38" s="1"/>
  <c r="Y34" i="38"/>
  <c r="Y56" i="38" s="1"/>
  <c r="X34" i="38"/>
  <c r="W34" i="38"/>
  <c r="V34" i="38"/>
  <c r="S34" i="38"/>
  <c r="P34" i="38"/>
  <c r="R34" i="38" s="1"/>
  <c r="F30" i="38"/>
  <c r="G30" i="38" s="1"/>
  <c r="H30" i="38" s="1"/>
  <c r="I30" i="38" s="1"/>
  <c r="J30" i="38" s="1"/>
  <c r="K30" i="38" s="1"/>
  <c r="L30" i="38" s="1"/>
  <c r="M30" i="38" s="1"/>
  <c r="N30" i="38" s="1"/>
  <c r="D29" i="38"/>
  <c r="U97" i="37"/>
  <c r="U96" i="37"/>
  <c r="AC34" i="37"/>
  <c r="AE27" i="37"/>
  <c r="AD27" i="37"/>
  <c r="AC27" i="37"/>
  <c r="AB27" i="37"/>
  <c r="AA27" i="37"/>
  <c r="Z27" i="37"/>
  <c r="Y27" i="37"/>
  <c r="X27" i="37"/>
  <c r="W27" i="37"/>
  <c r="V27" i="37"/>
  <c r="M25" i="37"/>
  <c r="J25" i="37"/>
  <c r="G25" i="37"/>
  <c r="G24" i="37"/>
  <c r="H24" i="37" s="1"/>
  <c r="I24" i="37" s="1"/>
  <c r="J24" i="37" s="1"/>
  <c r="K24" i="37" s="1"/>
  <c r="L24" i="37" s="1"/>
  <c r="M24" i="37" s="1"/>
  <c r="N24" i="37" s="1"/>
  <c r="F24" i="37"/>
  <c r="D23" i="37"/>
  <c r="U87" i="36"/>
  <c r="W39" i="36"/>
  <c r="X37" i="36"/>
  <c r="W35" i="36"/>
  <c r="H30" i="36"/>
  <c r="I30" i="36" s="1"/>
  <c r="J30" i="36" s="1"/>
  <c r="AA39" i="36" s="1"/>
  <c r="G30" i="36"/>
  <c r="F30" i="36"/>
  <c r="D29" i="36"/>
  <c r="AG18" i="39" l="1"/>
  <c r="AG22" i="39"/>
  <c r="AG26" i="39"/>
  <c r="AG30" i="39"/>
  <c r="AG34" i="39"/>
  <c r="P39" i="39"/>
  <c r="AG25" i="39"/>
  <c r="AG29" i="39"/>
  <c r="AG33" i="39"/>
  <c r="AG20" i="39"/>
  <c r="AG24" i="39"/>
  <c r="AG28" i="39"/>
  <c r="AG32" i="39"/>
  <c r="G59" i="39"/>
  <c r="W38" i="39"/>
  <c r="AG19" i="39"/>
  <c r="AG23" i="39"/>
  <c r="AG27" i="39"/>
  <c r="AG31" i="39"/>
  <c r="AG35" i="39"/>
  <c r="E57" i="39"/>
  <c r="E58" i="39" s="1"/>
  <c r="E69" i="38"/>
  <c r="E70" i="38" s="1"/>
  <c r="W56" i="38"/>
  <c r="AJ35" i="38"/>
  <c r="AG37" i="38"/>
  <c r="AG34" i="38"/>
  <c r="AG38" i="38"/>
  <c r="AG42" i="38"/>
  <c r="AG46" i="38"/>
  <c r="AG47" i="38"/>
  <c r="AG52" i="38"/>
  <c r="AI52" i="38" s="1"/>
  <c r="Q56" i="38"/>
  <c r="G71" i="38"/>
  <c r="AG40" i="38"/>
  <c r="AG44" i="38"/>
  <c r="AJ47" i="38"/>
  <c r="AG49" i="38"/>
  <c r="P57" i="38"/>
  <c r="AJ39" i="38"/>
  <c r="AG41" i="38"/>
  <c r="AJ43" i="38"/>
  <c r="AG45" i="38"/>
  <c r="AG50" i="38"/>
  <c r="AI50" i="38" s="1"/>
  <c r="AG51" i="38"/>
  <c r="AI51" i="38" s="1"/>
  <c r="R51" i="38"/>
  <c r="AH39" i="39"/>
  <c r="V38" i="39"/>
  <c r="AG16" i="39"/>
  <c r="AG38" i="39"/>
  <c r="AG42" i="39" s="1"/>
  <c r="X65" i="39"/>
  <c r="X66" i="39" s="1"/>
  <c r="Z38" i="39"/>
  <c r="AD38" i="39"/>
  <c r="F57" i="39"/>
  <c r="F58" i="39" s="1"/>
  <c r="P37" i="39"/>
  <c r="O38" i="39"/>
  <c r="Q38" i="39"/>
  <c r="AG55" i="38"/>
  <c r="AG59" i="38" s="1"/>
  <c r="V73" i="38"/>
  <c r="AG57" i="38"/>
  <c r="AI39" i="38"/>
  <c r="AI43" i="38"/>
  <c r="AI37" i="38"/>
  <c r="AI45" i="38"/>
  <c r="AI38" i="38"/>
  <c r="AI42" i="38"/>
  <c r="AG36" i="38"/>
  <c r="AJ38" i="38"/>
  <c r="AJ46" i="38"/>
  <c r="AJ50" i="38"/>
  <c r="O56" i="38"/>
  <c r="AJ37" i="38"/>
  <c r="AJ41" i="38"/>
  <c r="AJ45" i="38"/>
  <c r="R47" i="38"/>
  <c r="R55" i="38" s="1"/>
  <c r="E71" i="38" s="1"/>
  <c r="AJ49" i="38"/>
  <c r="AJ53" i="38"/>
  <c r="AG56" i="38"/>
  <c r="AG60" i="38" s="1"/>
  <c r="H70" i="38"/>
  <c r="X73" i="38"/>
  <c r="X74" i="38" s="1"/>
  <c r="AJ42" i="38"/>
  <c r="AJ36" i="38"/>
  <c r="AJ40" i="38"/>
  <c r="AJ44" i="38"/>
  <c r="AJ48" i="38"/>
  <c r="AJ52" i="38"/>
  <c r="S55" i="38"/>
  <c r="AH57" i="38"/>
  <c r="AJ34" i="38"/>
  <c r="V56" i="38"/>
  <c r="P55" i="38"/>
  <c r="AB35" i="37"/>
  <c r="X35" i="37"/>
  <c r="AC35" i="37"/>
  <c r="W35" i="37"/>
  <c r="AD35" i="37"/>
  <c r="Y35" i="37"/>
  <c r="AA35" i="37"/>
  <c r="AE35" i="37"/>
  <c r="Z35" i="37"/>
  <c r="AB29" i="37"/>
  <c r="Y29" i="37"/>
  <c r="AB39" i="37"/>
  <c r="X39" i="37"/>
  <c r="AE39" i="37"/>
  <c r="AA39" i="37"/>
  <c r="W39" i="37"/>
  <c r="AD39" i="37"/>
  <c r="Z39" i="37"/>
  <c r="Z29" i="37"/>
  <c r="AD29" i="37"/>
  <c r="AB34" i="37"/>
  <c r="Y39" i="37"/>
  <c r="V39" i="36"/>
  <c r="W29" i="37"/>
  <c r="AA29" i="37"/>
  <c r="AE29" i="37"/>
  <c r="X34" i="37"/>
  <c r="AC39" i="37"/>
  <c r="AC29" i="37"/>
  <c r="AE34" i="37"/>
  <c r="AA34" i="37"/>
  <c r="W34" i="37"/>
  <c r="Z34" i="37"/>
  <c r="X41" i="36"/>
  <c r="X29" i="37"/>
  <c r="Y34" i="37"/>
  <c r="AD34" i="37"/>
  <c r="Z34" i="36"/>
  <c r="Z35" i="36"/>
  <c r="Z39" i="36"/>
  <c r="X42" i="36"/>
  <c r="Z42" i="36"/>
  <c r="AA42" i="36"/>
  <c r="W42" i="36"/>
  <c r="K30" i="36"/>
  <c r="AB42" i="36" s="1"/>
  <c r="AA35" i="36"/>
  <c r="Y42" i="36"/>
  <c r="AA49" i="36"/>
  <c r="W49" i="36"/>
  <c r="X49" i="36"/>
  <c r="AB49" i="36"/>
  <c r="Z49" i="36"/>
  <c r="Y49" i="36"/>
  <c r="V35" i="36"/>
  <c r="AB38" i="36"/>
  <c r="X38" i="36"/>
  <c r="Z38" i="36"/>
  <c r="AA38" i="36"/>
  <c r="W38" i="36"/>
  <c r="V34" i="36"/>
  <c r="Y38" i="36"/>
  <c r="V53" i="36"/>
  <c r="Y37" i="36"/>
  <c r="AB35" i="36"/>
  <c r="Z37" i="36"/>
  <c r="X39" i="36"/>
  <c r="AB39" i="36"/>
  <c r="Z41" i="36"/>
  <c r="Y41" i="36"/>
  <c r="Y35" i="36"/>
  <c r="W37" i="36"/>
  <c r="AA37" i="36"/>
  <c r="Y39" i="36"/>
  <c r="W41" i="36"/>
  <c r="AA41" i="36"/>
  <c r="AB53" i="36"/>
  <c r="X53" i="36"/>
  <c r="AA53" i="36"/>
  <c r="W53" i="36"/>
  <c r="Z53" i="36"/>
  <c r="Y53" i="36"/>
  <c r="H58" i="39" l="1"/>
  <c r="E59" i="39"/>
  <c r="AI47" i="38"/>
  <c r="AI53" i="38"/>
  <c r="AI49" i="38"/>
  <c r="AI35" i="38"/>
  <c r="V65" i="39"/>
  <c r="V66" i="39" s="1"/>
  <c r="AG39" i="39"/>
  <c r="AG37" i="39"/>
  <c r="AG41" i="39" s="1"/>
  <c r="F59" i="39"/>
  <c r="H59" i="39" s="1"/>
  <c r="W65" i="39"/>
  <c r="W66" i="39" s="1"/>
  <c r="AH38" i="39"/>
  <c r="AF38" i="39"/>
  <c r="AF42" i="39" s="1"/>
  <c r="X67" i="39"/>
  <c r="AH43" i="39"/>
  <c r="H71" i="38"/>
  <c r="H72" i="38" s="1"/>
  <c r="AG61" i="38"/>
  <c r="AH61" i="38"/>
  <c r="X75" i="38"/>
  <c r="AH56" i="38"/>
  <c r="AH60" i="38" s="1"/>
  <c r="AF56" i="38"/>
  <c r="AF60" i="38" s="1"/>
  <c r="AJ55" i="38"/>
  <c r="V74" i="38"/>
  <c r="Y74" i="38" s="1"/>
  <c r="AI36" i="38"/>
  <c r="AI46" i="38"/>
  <c r="AI40" i="38"/>
  <c r="AI41" i="38"/>
  <c r="AI48" i="38"/>
  <c r="AI34" i="38"/>
  <c r="AI44" i="38"/>
  <c r="AD37" i="37"/>
  <c r="Z37" i="37"/>
  <c r="AC37" i="37"/>
  <c r="Y37" i="37"/>
  <c r="AB37" i="37"/>
  <c r="X37" i="37"/>
  <c r="AE37" i="37"/>
  <c r="AA37" i="37"/>
  <c r="W37" i="37"/>
  <c r="P35" i="37"/>
  <c r="V35" i="37"/>
  <c r="AG35" i="37" s="1"/>
  <c r="AD41" i="37"/>
  <c r="Z41" i="37"/>
  <c r="AC41" i="37"/>
  <c r="Y41" i="37"/>
  <c r="AB41" i="37"/>
  <c r="X41" i="37"/>
  <c r="AE41" i="37"/>
  <c r="AA41" i="37"/>
  <c r="W41" i="37"/>
  <c r="AB44" i="37"/>
  <c r="AC44" i="37"/>
  <c r="Y44" i="37"/>
  <c r="AD44" i="37"/>
  <c r="W44" i="37"/>
  <c r="AA44" i="37"/>
  <c r="Z44" i="37"/>
  <c r="X44" i="37"/>
  <c r="AE44" i="37"/>
  <c r="P34" i="37"/>
  <c r="V34" i="37"/>
  <c r="AG34" i="37" s="1"/>
  <c r="P29" i="37"/>
  <c r="V29" i="37"/>
  <c r="AG29" i="37" s="1"/>
  <c r="AB43" i="37"/>
  <c r="X43" i="37"/>
  <c r="AD43" i="37"/>
  <c r="Y43" i="37"/>
  <c r="AC43" i="37"/>
  <c r="W43" i="37"/>
  <c r="AA43" i="37"/>
  <c r="Z43" i="37"/>
  <c r="AE43" i="37"/>
  <c r="P39" i="37"/>
  <c r="V39" i="37"/>
  <c r="AG39" i="37" s="1"/>
  <c r="AD31" i="37"/>
  <c r="Z31" i="37"/>
  <c r="AE31" i="37"/>
  <c r="AA31" i="37"/>
  <c r="AC31" i="37"/>
  <c r="Y31" i="37"/>
  <c r="W31" i="37"/>
  <c r="AB31" i="37"/>
  <c r="X31" i="37"/>
  <c r="AE38" i="37"/>
  <c r="AA38" i="37"/>
  <c r="W38" i="37"/>
  <c r="AD38" i="37"/>
  <c r="Z38" i="37"/>
  <c r="AC38" i="37"/>
  <c r="Y38" i="37"/>
  <c r="X38" i="37"/>
  <c r="AB38" i="37"/>
  <c r="AC36" i="37"/>
  <c r="Y36" i="37"/>
  <c r="AE36" i="37"/>
  <c r="AA36" i="37"/>
  <c r="W36" i="37"/>
  <c r="AB36" i="37"/>
  <c r="Z36" i="37"/>
  <c r="AD36" i="37"/>
  <c r="X36" i="37"/>
  <c r="AD46" i="37"/>
  <c r="Z46" i="37"/>
  <c r="AC46" i="37"/>
  <c r="Y46" i="37"/>
  <c r="AE46" i="37"/>
  <c r="AA46" i="37"/>
  <c r="W46" i="37"/>
  <c r="AB46" i="37"/>
  <c r="X46" i="37"/>
  <c r="AE32" i="37"/>
  <c r="AA32" i="37"/>
  <c r="W32" i="37"/>
  <c r="X32" i="37"/>
  <c r="AD32" i="37"/>
  <c r="Z32" i="37"/>
  <c r="AC32" i="37"/>
  <c r="Y32" i="37"/>
  <c r="AB32" i="37"/>
  <c r="AC30" i="37"/>
  <c r="Y30" i="37"/>
  <c r="AB30" i="37"/>
  <c r="X30" i="37"/>
  <c r="AD30" i="37"/>
  <c r="AE30" i="37"/>
  <c r="AA30" i="37"/>
  <c r="W30" i="37"/>
  <c r="Z30" i="37"/>
  <c r="AE47" i="37"/>
  <c r="AA47" i="37"/>
  <c r="W47" i="37"/>
  <c r="AD47" i="37"/>
  <c r="Z47" i="37"/>
  <c r="AB47" i="37"/>
  <c r="X47" i="37"/>
  <c r="AC47" i="37"/>
  <c r="Y47" i="37"/>
  <c r="AD33" i="37"/>
  <c r="Z33" i="37"/>
  <c r="AA33" i="37"/>
  <c r="AE33" i="37"/>
  <c r="Y33" i="37"/>
  <c r="AB33" i="37"/>
  <c r="AC33" i="37"/>
  <c r="X33" i="37"/>
  <c r="W33" i="37"/>
  <c r="AE42" i="37"/>
  <c r="AA42" i="37"/>
  <c r="W42" i="37"/>
  <c r="AD42" i="37"/>
  <c r="Z42" i="37"/>
  <c r="AC42" i="37"/>
  <c r="Y42" i="37"/>
  <c r="AB42" i="37"/>
  <c r="X42" i="37"/>
  <c r="AC40" i="37"/>
  <c r="Y40" i="37"/>
  <c r="AB40" i="37"/>
  <c r="X40" i="37"/>
  <c r="AE40" i="37"/>
  <c r="AA40" i="37"/>
  <c r="W40" i="37"/>
  <c r="Z40" i="37"/>
  <c r="AD40" i="37"/>
  <c r="AC45" i="37"/>
  <c r="Y45" i="37"/>
  <c r="AB45" i="37"/>
  <c r="AD45" i="37"/>
  <c r="Z45" i="37"/>
  <c r="W45" i="37"/>
  <c r="AE45" i="37"/>
  <c r="AA45" i="37"/>
  <c r="X45" i="37"/>
  <c r="AA47" i="36"/>
  <c r="W47" i="36"/>
  <c r="Z47" i="36"/>
  <c r="X47" i="36"/>
  <c r="AB47" i="36"/>
  <c r="Y47" i="36"/>
  <c r="Y45" i="36"/>
  <c r="AA45" i="36"/>
  <c r="Z45" i="36"/>
  <c r="X45" i="36"/>
  <c r="AB45" i="36"/>
  <c r="W45" i="36"/>
  <c r="AB44" i="36"/>
  <c r="X44" i="36"/>
  <c r="AA44" i="36"/>
  <c r="Z44" i="36"/>
  <c r="Y44" i="36"/>
  <c r="W44" i="36"/>
  <c r="AC44" i="36"/>
  <c r="V41" i="36"/>
  <c r="AB50" i="36"/>
  <c r="X50" i="36"/>
  <c r="W50" i="36"/>
  <c r="AA50" i="36"/>
  <c r="Y50" i="36"/>
  <c r="Z50" i="36"/>
  <c r="AA43" i="36"/>
  <c r="W43" i="36"/>
  <c r="AB43" i="36"/>
  <c r="Y43" i="36"/>
  <c r="Z43" i="36"/>
  <c r="X43" i="36"/>
  <c r="Z40" i="36"/>
  <c r="AB40" i="36"/>
  <c r="X40" i="36"/>
  <c r="AC40" i="36"/>
  <c r="Y40" i="36"/>
  <c r="AA40" i="36"/>
  <c r="W40" i="36"/>
  <c r="X35" i="36"/>
  <c r="AC51" i="36"/>
  <c r="Y51" i="36"/>
  <c r="AB51" i="36"/>
  <c r="W51" i="36"/>
  <c r="AA51" i="36"/>
  <c r="X51" i="36"/>
  <c r="Z51" i="36"/>
  <c r="X34" i="36"/>
  <c r="V49" i="36"/>
  <c r="Y34" i="36"/>
  <c r="AC36" i="36"/>
  <c r="Y36" i="36"/>
  <c r="AB36" i="36"/>
  <c r="X36" i="36"/>
  <c r="AA36" i="36"/>
  <c r="W36" i="36"/>
  <c r="AA34" i="36"/>
  <c r="V42" i="36"/>
  <c r="AA52" i="36"/>
  <c r="W52" i="36"/>
  <c r="Z52" i="36"/>
  <c r="AB52" i="36"/>
  <c r="Y52" i="36"/>
  <c r="X52" i="36"/>
  <c r="Z48" i="36"/>
  <c r="AC48" i="36"/>
  <c r="X48" i="36"/>
  <c r="AB48" i="36"/>
  <c r="W48" i="36"/>
  <c r="Y48" i="36"/>
  <c r="AA48" i="36"/>
  <c r="V37" i="36"/>
  <c r="Z46" i="36"/>
  <c r="AC46" i="36"/>
  <c r="Y46" i="36"/>
  <c r="AA46" i="36"/>
  <c r="X46" i="36"/>
  <c r="W46" i="36"/>
  <c r="AB46" i="36"/>
  <c r="W34" i="36"/>
  <c r="AB34" i="36"/>
  <c r="V38" i="36"/>
  <c r="AB41" i="36"/>
  <c r="L30" i="36"/>
  <c r="AC47" i="36" s="1"/>
  <c r="AB37" i="36"/>
  <c r="H60" i="39" l="1"/>
  <c r="E64" i="39"/>
  <c r="V67" i="39"/>
  <c r="Y67" i="39" s="1"/>
  <c r="AG43" i="39"/>
  <c r="AH42" i="39"/>
  <c r="W67" i="39"/>
  <c r="Y66" i="39"/>
  <c r="E61" i="38"/>
  <c r="H73" i="38"/>
  <c r="H74" i="38" s="1"/>
  <c r="E72" i="38"/>
  <c r="E76" i="38"/>
  <c r="AI55" i="38"/>
  <c r="V75" i="38" s="1"/>
  <c r="Y75" i="38"/>
  <c r="Y76" i="38" s="1"/>
  <c r="E73" i="38"/>
  <c r="E74" i="38" s="1"/>
  <c r="N50" i="37"/>
  <c r="AE28" i="37"/>
  <c r="AE50" i="37" s="1"/>
  <c r="F56" i="36"/>
  <c r="V45" i="37"/>
  <c r="AG45" i="37" s="1"/>
  <c r="P45" i="37"/>
  <c r="V42" i="37"/>
  <c r="AG42" i="37" s="1"/>
  <c r="P42" i="37"/>
  <c r="L50" i="37"/>
  <c r="AC28" i="37"/>
  <c r="AC50" i="37" s="1"/>
  <c r="G50" i="37"/>
  <c r="X28" i="37"/>
  <c r="X50" i="37" s="1"/>
  <c r="P44" i="37"/>
  <c r="V44" i="37"/>
  <c r="AG44" i="37" s="1"/>
  <c r="V37" i="37"/>
  <c r="AG37" i="37" s="1"/>
  <c r="P37" i="37"/>
  <c r="V30" i="37"/>
  <c r="AG30" i="37" s="1"/>
  <c r="P30" i="37"/>
  <c r="M50" i="37"/>
  <c r="AD28" i="37"/>
  <c r="AD50" i="37" s="1"/>
  <c r="P33" i="37"/>
  <c r="V33" i="37"/>
  <c r="AG33" i="37" s="1"/>
  <c r="G69" i="37"/>
  <c r="G70" i="37" s="1"/>
  <c r="E50" i="37"/>
  <c r="P28" i="37"/>
  <c r="Q51" i="37"/>
  <c r="V28" i="37"/>
  <c r="P50" i="37"/>
  <c r="F50" i="37"/>
  <c r="W28" i="37"/>
  <c r="W50" i="37" s="1"/>
  <c r="V46" i="37"/>
  <c r="AG46" i="37" s="1"/>
  <c r="P46" i="37"/>
  <c r="P43" i="37"/>
  <c r="V43" i="37"/>
  <c r="AG43" i="37" s="1"/>
  <c r="V40" i="37"/>
  <c r="AG40" i="37" s="1"/>
  <c r="P40" i="37"/>
  <c r="H50" i="37"/>
  <c r="Y28" i="37"/>
  <c r="Y50" i="37" s="1"/>
  <c r="P32" i="37"/>
  <c r="V32" i="37"/>
  <c r="AG32" i="37" s="1"/>
  <c r="V36" i="37"/>
  <c r="AG36" i="37" s="1"/>
  <c r="P36" i="37"/>
  <c r="V31" i="37"/>
  <c r="AG31" i="37" s="1"/>
  <c r="P31" i="37"/>
  <c r="AA56" i="36"/>
  <c r="P47" i="37"/>
  <c r="V47" i="37"/>
  <c r="AG47" i="37" s="1"/>
  <c r="K50" i="37"/>
  <c r="AB28" i="37"/>
  <c r="AB50" i="37" s="1"/>
  <c r="I50" i="37"/>
  <c r="Z28" i="37"/>
  <c r="Z50" i="37" s="1"/>
  <c r="J50" i="37"/>
  <c r="AA28" i="37"/>
  <c r="AA50" i="37" s="1"/>
  <c r="V38" i="37"/>
  <c r="AG38" i="37" s="1"/>
  <c r="P38" i="37"/>
  <c r="V41" i="37"/>
  <c r="AG41" i="37" s="1"/>
  <c r="P41" i="37"/>
  <c r="Y56" i="36"/>
  <c r="V50" i="36"/>
  <c r="AB56" i="36"/>
  <c r="J56" i="36"/>
  <c r="V36" i="36"/>
  <c r="E56" i="36"/>
  <c r="K56" i="36"/>
  <c r="V48" i="36"/>
  <c r="AC52" i="36"/>
  <c r="Z36" i="36"/>
  <c r="Z56" i="36" s="1"/>
  <c r="I56" i="36"/>
  <c r="V44" i="36"/>
  <c r="X56" i="36"/>
  <c r="V51" i="36"/>
  <c r="V45" i="36"/>
  <c r="V47" i="36"/>
  <c r="V46" i="36"/>
  <c r="H56" i="36"/>
  <c r="G56" i="36"/>
  <c r="M30" i="36"/>
  <c r="AC41" i="36"/>
  <c r="W56" i="36"/>
  <c r="V52" i="36"/>
  <c r="V40" i="36"/>
  <c r="AC43" i="36"/>
  <c r="V43" i="36"/>
  <c r="AC50" i="36"/>
  <c r="AC45" i="36"/>
  <c r="Y68" i="39" l="1"/>
  <c r="Y69" i="39" s="1"/>
  <c r="Y70" i="39" s="1"/>
  <c r="W69" i="39"/>
  <c r="W70" i="39" s="1"/>
  <c r="V72" i="39"/>
  <c r="E53" i="39"/>
  <c r="F64" i="39"/>
  <c r="G64" i="39"/>
  <c r="G47" i="39" s="1"/>
  <c r="E47" i="39"/>
  <c r="H61" i="39"/>
  <c r="H62" i="39" s="1"/>
  <c r="E45" i="39"/>
  <c r="E60" i="39"/>
  <c r="F60" i="39"/>
  <c r="E46" i="39" s="1"/>
  <c r="E52" i="39" s="1"/>
  <c r="F61" i="39"/>
  <c r="F62" i="39" s="1"/>
  <c r="E61" i="39"/>
  <c r="E62" i="39" s="1"/>
  <c r="Y77" i="38"/>
  <c r="Y78" i="38" s="1"/>
  <c r="V86" i="38"/>
  <c r="V76" i="38"/>
  <c r="E65" i="38"/>
  <c r="G61" i="38"/>
  <c r="F61" i="38"/>
  <c r="F65" i="38" s="1"/>
  <c r="V77" i="38"/>
  <c r="V78" i="38" s="1"/>
  <c r="V80" i="38"/>
  <c r="G78" i="38"/>
  <c r="G60" i="38" s="1"/>
  <c r="H60" i="38" s="1"/>
  <c r="F78" i="38"/>
  <c r="F60" i="38" s="1"/>
  <c r="E77" i="38"/>
  <c r="E78" i="38"/>
  <c r="E60" i="38" s="1"/>
  <c r="G66" i="38"/>
  <c r="F76" i="38"/>
  <c r="E62" i="38"/>
  <c r="G76" i="38"/>
  <c r="G62" i="38" s="1"/>
  <c r="E66" i="38"/>
  <c r="G71" i="37"/>
  <c r="AH51" i="37"/>
  <c r="V50" i="37"/>
  <c r="AG50" i="37"/>
  <c r="AG54" i="37" s="1"/>
  <c r="X77" i="37"/>
  <c r="X78" i="37" s="1"/>
  <c r="AG28" i="37"/>
  <c r="P51" i="37"/>
  <c r="P49" i="37"/>
  <c r="E69" i="37"/>
  <c r="E70" i="37" s="1"/>
  <c r="F69" i="37"/>
  <c r="F70" i="37" s="1"/>
  <c r="Q50" i="37"/>
  <c r="O50" i="37"/>
  <c r="AC42" i="36"/>
  <c r="N30" i="36"/>
  <c r="AD35" i="36"/>
  <c r="AD39" i="36"/>
  <c r="AD42" i="36"/>
  <c r="AD53" i="36"/>
  <c r="AD49" i="36"/>
  <c r="AD38" i="36"/>
  <c r="AD37" i="36"/>
  <c r="AD52" i="36"/>
  <c r="AC49" i="36"/>
  <c r="AC53" i="36"/>
  <c r="AC35" i="36"/>
  <c r="AC39" i="36"/>
  <c r="V56" i="36"/>
  <c r="AC37" i="36"/>
  <c r="L56" i="36"/>
  <c r="AC34" i="36"/>
  <c r="AC38" i="36"/>
  <c r="V68" i="39" l="1"/>
  <c r="V74" i="39" s="1"/>
  <c r="V79" i="39" s="1"/>
  <c r="V42" i="39" s="1"/>
  <c r="V48" i="39" s="1"/>
  <c r="W68" i="39"/>
  <c r="V75" i="39" s="1"/>
  <c r="V82" i="39"/>
  <c r="V45" i="39" s="1"/>
  <c r="V51" i="39" s="1"/>
  <c r="V69" i="39"/>
  <c r="V70" i="39" s="1"/>
  <c r="E51" i="39"/>
  <c r="F45" i="39"/>
  <c r="F51" i="39" s="1"/>
  <c r="G45" i="39"/>
  <c r="E68" i="39"/>
  <c r="E44" i="39" s="1"/>
  <c r="F68" i="39"/>
  <c r="F44" i="39" s="1"/>
  <c r="E67" i="39"/>
  <c r="G68" i="39"/>
  <c r="G44" i="39" s="1"/>
  <c r="V53" i="39"/>
  <c r="W72" i="39"/>
  <c r="V61" i="39"/>
  <c r="X72" i="39"/>
  <c r="X53" i="39" s="1"/>
  <c r="X74" i="39"/>
  <c r="X79" i="39" s="1"/>
  <c r="X42" i="39" s="1"/>
  <c r="V62" i="39"/>
  <c r="W74" i="39"/>
  <c r="W79" i="39" s="1"/>
  <c r="W42" i="39" s="1"/>
  <c r="W48" i="39" s="1"/>
  <c r="V73" i="39"/>
  <c r="V54" i="39"/>
  <c r="G66" i="39"/>
  <c r="G42" i="39" s="1"/>
  <c r="E65" i="39"/>
  <c r="E54" i="39"/>
  <c r="F66" i="39"/>
  <c r="F42" i="39" s="1"/>
  <c r="E66" i="39"/>
  <c r="E42" i="39" s="1"/>
  <c r="E48" i="39"/>
  <c r="G53" i="39"/>
  <c r="X76" i="39"/>
  <c r="X81" i="39" s="1"/>
  <c r="X44" i="39" s="1"/>
  <c r="V83" i="39"/>
  <c r="F53" i="39"/>
  <c r="H53" i="39" s="1"/>
  <c r="F47" i="39"/>
  <c r="H47" i="39" s="1"/>
  <c r="E59" i="38"/>
  <c r="F77" i="38"/>
  <c r="F59" i="38" s="1"/>
  <c r="G77" i="38"/>
  <c r="G59" i="38" s="1"/>
  <c r="I59" i="38" s="1"/>
  <c r="X82" i="38"/>
  <c r="X85" i="38" s="1"/>
  <c r="X60" i="38" s="1"/>
  <c r="V82" i="38"/>
  <c r="V85" i="38" s="1"/>
  <c r="V60" i="38" s="1"/>
  <c r="V63" i="38" s="1"/>
  <c r="W82" i="38"/>
  <c r="W85" i="38" s="1"/>
  <c r="W60" i="38" s="1"/>
  <c r="W63" i="38" s="1"/>
  <c r="V81" i="38"/>
  <c r="W80" i="38"/>
  <c r="V70" i="38"/>
  <c r="X80" i="38"/>
  <c r="X65" i="38" s="1"/>
  <c r="V65" i="38"/>
  <c r="F66" i="38"/>
  <c r="H66" i="38" s="1"/>
  <c r="F62" i="38"/>
  <c r="H62" i="38" s="1"/>
  <c r="V61" i="38"/>
  <c r="V64" i="38" s="1"/>
  <c r="V87" i="38"/>
  <c r="V68" i="38" s="1"/>
  <c r="V69" i="38" s="1"/>
  <c r="X86" i="38"/>
  <c r="W86" i="38"/>
  <c r="G65" i="38"/>
  <c r="I65" i="38" s="1"/>
  <c r="I61" i="38"/>
  <c r="W77" i="37"/>
  <c r="W78" i="37" s="1"/>
  <c r="AH50" i="37"/>
  <c r="AF50" i="37"/>
  <c r="AF54" i="37" s="1"/>
  <c r="H70" i="37"/>
  <c r="E71" i="37"/>
  <c r="V77" i="37"/>
  <c r="V78" i="37" s="1"/>
  <c r="AG51" i="37"/>
  <c r="AG49" i="37"/>
  <c r="AG53" i="37" s="1"/>
  <c r="X79" i="37"/>
  <c r="AH55" i="37"/>
  <c r="F71" i="37"/>
  <c r="AC56" i="36"/>
  <c r="AD50" i="36"/>
  <c r="AD47" i="36"/>
  <c r="AD36" i="36"/>
  <c r="AE37" i="36"/>
  <c r="AJ37" i="36" s="1"/>
  <c r="AE42" i="36"/>
  <c r="AG42" i="36" s="1"/>
  <c r="AE43" i="36"/>
  <c r="AE48" i="36"/>
  <c r="AE47" i="36"/>
  <c r="AE50" i="36"/>
  <c r="AE46" i="36"/>
  <c r="AE44" i="36"/>
  <c r="AE40" i="36"/>
  <c r="AE51" i="36"/>
  <c r="AE36" i="36"/>
  <c r="AE52" i="36"/>
  <c r="AJ52" i="36" s="1"/>
  <c r="AG52" i="36"/>
  <c r="S52" i="36"/>
  <c r="S37" i="36"/>
  <c r="AD40" i="36"/>
  <c r="AD48" i="36"/>
  <c r="S48" i="36"/>
  <c r="AD51" i="36"/>
  <c r="S51" i="36"/>
  <c r="M56" i="36"/>
  <c r="AD34" i="36"/>
  <c r="P42" i="36"/>
  <c r="AD46" i="36"/>
  <c r="P46" i="36"/>
  <c r="AJ42" i="36"/>
  <c r="P52" i="36"/>
  <c r="P53" i="36"/>
  <c r="AD44" i="36"/>
  <c r="S44" i="36"/>
  <c r="P44" i="36"/>
  <c r="AD43" i="36"/>
  <c r="S43" i="36"/>
  <c r="AD45" i="36"/>
  <c r="P45" i="36"/>
  <c r="AD41" i="36"/>
  <c r="S42" i="36"/>
  <c r="X82" i="39" l="1"/>
  <c r="W82" i="39"/>
  <c r="V84" i="39"/>
  <c r="V57" i="39" s="1"/>
  <c r="V59" i="39" s="1"/>
  <c r="V76" i="39"/>
  <c r="V81" i="39" s="1"/>
  <c r="V44" i="39" s="1"/>
  <c r="V50" i="39" s="1"/>
  <c r="W76" i="39"/>
  <c r="W81" i="39" s="1"/>
  <c r="W44" i="39" s="1"/>
  <c r="W50" i="39" s="1"/>
  <c r="V85" i="39"/>
  <c r="V58" i="39" s="1"/>
  <c r="V60" i="39" s="1"/>
  <c r="V46" i="39"/>
  <c r="V52" i="39" s="1"/>
  <c r="X50" i="39"/>
  <c r="Z44" i="39"/>
  <c r="V78" i="39"/>
  <c r="V41" i="39" s="1"/>
  <c r="V47" i="39" s="1"/>
  <c r="X73" i="39"/>
  <c r="X78" i="39" s="1"/>
  <c r="X41" i="39" s="1"/>
  <c r="W73" i="39"/>
  <c r="W78" i="39" s="1"/>
  <c r="W41" i="39" s="1"/>
  <c r="W47" i="39" s="1"/>
  <c r="X48" i="39"/>
  <c r="Y48" i="39" s="1"/>
  <c r="Z42" i="39"/>
  <c r="X61" i="39"/>
  <c r="Y61" i="39" s="1"/>
  <c r="G51" i="39"/>
  <c r="I51" i="39" s="1"/>
  <c r="I45" i="39"/>
  <c r="V80" i="39"/>
  <c r="V43" i="39" s="1"/>
  <c r="V49" i="39" s="1"/>
  <c r="W75" i="39"/>
  <c r="W80" i="39" s="1"/>
  <c r="W43" i="39" s="1"/>
  <c r="W49" i="39" s="1"/>
  <c r="X75" i="39"/>
  <c r="X80" i="39" s="1"/>
  <c r="X43" i="39" s="1"/>
  <c r="E41" i="39"/>
  <c r="F65" i="39"/>
  <c r="F41" i="39" s="1"/>
  <c r="G65" i="39"/>
  <c r="G41" i="39" s="1"/>
  <c r="I41" i="39" s="1"/>
  <c r="H42" i="39"/>
  <c r="H44" i="39"/>
  <c r="W53" i="39"/>
  <c r="Y53" i="39" s="1"/>
  <c r="W61" i="39"/>
  <c r="E43" i="39"/>
  <c r="F67" i="39"/>
  <c r="F43" i="39" s="1"/>
  <c r="G67" i="39"/>
  <c r="G43" i="39" s="1"/>
  <c r="I43" i="39" s="1"/>
  <c r="V84" i="38"/>
  <c r="V59" i="38" s="1"/>
  <c r="V62" i="38" s="1"/>
  <c r="W81" i="38"/>
  <c r="W84" i="38" s="1"/>
  <c r="W59" i="38" s="1"/>
  <c r="W62" i="38" s="1"/>
  <c r="X81" i="38"/>
  <c r="X84" i="38" s="1"/>
  <c r="X59" i="38" s="1"/>
  <c r="W87" i="38"/>
  <c r="W68" i="38" s="1"/>
  <c r="W69" i="38" s="1"/>
  <c r="W61" i="38"/>
  <c r="W64" i="38" s="1"/>
  <c r="X70" i="38"/>
  <c r="Y70" i="38" s="1"/>
  <c r="X63" i="38"/>
  <c r="Y63" i="38" s="1"/>
  <c r="Z60" i="38"/>
  <c r="X87" i="38"/>
  <c r="X68" i="38" s="1"/>
  <c r="X61" i="38"/>
  <c r="W70" i="38"/>
  <c r="W65" i="38"/>
  <c r="Y65" i="38" s="1"/>
  <c r="H71" i="37"/>
  <c r="H72" i="37" s="1"/>
  <c r="H73" i="37" s="1"/>
  <c r="H74" i="37" s="1"/>
  <c r="E72" i="37"/>
  <c r="AG37" i="36"/>
  <c r="P37" i="36"/>
  <c r="Y78" i="37"/>
  <c r="AH54" i="37"/>
  <c r="W79" i="37"/>
  <c r="P40" i="36"/>
  <c r="V79" i="37"/>
  <c r="AG55" i="37"/>
  <c r="AG44" i="36"/>
  <c r="AJ44" i="36"/>
  <c r="AG48" i="36"/>
  <c r="AJ48" i="36"/>
  <c r="AE41" i="36"/>
  <c r="AJ41" i="36" s="1"/>
  <c r="S41" i="36"/>
  <c r="AG36" i="36"/>
  <c r="AJ36" i="36"/>
  <c r="AJ43" i="36"/>
  <c r="AG43" i="36"/>
  <c r="AD56" i="36"/>
  <c r="AJ51" i="36"/>
  <c r="AG51" i="36"/>
  <c r="AE49" i="36"/>
  <c r="S49" i="36"/>
  <c r="P49" i="36"/>
  <c r="AE39" i="36"/>
  <c r="S39" i="36"/>
  <c r="S47" i="36"/>
  <c r="S50" i="36"/>
  <c r="S46" i="36"/>
  <c r="P48" i="36"/>
  <c r="S40" i="36"/>
  <c r="P39" i="36"/>
  <c r="AE45" i="36"/>
  <c r="AG45" i="36" s="1"/>
  <c r="S45" i="36"/>
  <c r="N56" i="36"/>
  <c r="O56" i="36" s="1"/>
  <c r="AE34" i="36"/>
  <c r="AG34" i="36" s="1"/>
  <c r="G69" i="36"/>
  <c r="G70" i="36" s="1"/>
  <c r="P56" i="36"/>
  <c r="R53" i="36" s="1"/>
  <c r="P34" i="36"/>
  <c r="S34" i="36"/>
  <c r="Q57" i="36"/>
  <c r="G71" i="36" s="1"/>
  <c r="S36" i="36"/>
  <c r="P47" i="36"/>
  <c r="P50" i="36"/>
  <c r="AE35" i="36"/>
  <c r="S35" i="36"/>
  <c r="P41" i="36"/>
  <c r="P43" i="36"/>
  <c r="AG46" i="36"/>
  <c r="AJ46" i="36"/>
  <c r="P51" i="36"/>
  <c r="AJ40" i="36"/>
  <c r="AG40" i="36"/>
  <c r="AE38" i="36"/>
  <c r="S38" i="36"/>
  <c r="P38" i="36"/>
  <c r="AE53" i="36"/>
  <c r="S53" i="36"/>
  <c r="P36" i="36"/>
  <c r="AJ47" i="36"/>
  <c r="AG47" i="36"/>
  <c r="P35" i="36"/>
  <c r="AG50" i="36"/>
  <c r="AJ50" i="36"/>
  <c r="AJ34" i="36"/>
  <c r="Y50" i="39" l="1"/>
  <c r="W84" i="39"/>
  <c r="W57" i="39" s="1"/>
  <c r="W59" i="39" s="1"/>
  <c r="W45" i="39"/>
  <c r="W51" i="39" s="1"/>
  <c r="X84" i="39"/>
  <c r="X57" i="39" s="1"/>
  <c r="X45" i="39"/>
  <c r="X49" i="39"/>
  <c r="Z49" i="39" s="1"/>
  <c r="Z43" i="39"/>
  <c r="Z41" i="39"/>
  <c r="X47" i="39"/>
  <c r="Z47" i="39" s="1"/>
  <c r="X62" i="38"/>
  <c r="Z62" i="38" s="1"/>
  <c r="Z59" i="38"/>
  <c r="Z68" i="38"/>
  <c r="X69" i="38"/>
  <c r="Z69" i="38" s="1"/>
  <c r="X64" i="38"/>
  <c r="Z64" i="38" s="1"/>
  <c r="Z61" i="38"/>
  <c r="Y79" i="37"/>
  <c r="Y80" i="37" s="1"/>
  <c r="V80" i="37" s="1"/>
  <c r="AJ45" i="36"/>
  <c r="F73" i="37"/>
  <c r="F74" i="37" s="1"/>
  <c r="G80" i="37" s="1"/>
  <c r="G56" i="37" s="1"/>
  <c r="E76" i="37"/>
  <c r="E59" i="37" s="1"/>
  <c r="F72" i="37"/>
  <c r="E80" i="37" s="1"/>
  <c r="E56" i="37" s="1"/>
  <c r="E57" i="37"/>
  <c r="E73" i="37"/>
  <c r="E74" i="37" s="1"/>
  <c r="F78" i="37" s="1"/>
  <c r="F54" i="37" s="1"/>
  <c r="V85" i="37"/>
  <c r="V86" i="37"/>
  <c r="V91" i="37" s="1"/>
  <c r="V54" i="37" s="1"/>
  <c r="V60" i="37" s="1"/>
  <c r="W80" i="37"/>
  <c r="V66" i="37" s="1"/>
  <c r="R41" i="36"/>
  <c r="R42" i="36"/>
  <c r="R38" i="36"/>
  <c r="Y81" i="37"/>
  <c r="Y82" i="37" s="1"/>
  <c r="V94" i="37"/>
  <c r="W94" i="37" s="1"/>
  <c r="R35" i="36"/>
  <c r="X73" i="36"/>
  <c r="X74" i="36" s="1"/>
  <c r="R50" i="36"/>
  <c r="R44" i="36"/>
  <c r="V84" i="37"/>
  <c r="W81" i="37"/>
  <c r="W82" i="37" s="1"/>
  <c r="R47" i="36"/>
  <c r="R37" i="36"/>
  <c r="V81" i="37"/>
  <c r="V82" i="37" s="1"/>
  <c r="X86" i="37" s="1"/>
  <c r="X91" i="37" s="1"/>
  <c r="X54" i="37" s="1"/>
  <c r="E77" i="37"/>
  <c r="E66" i="37"/>
  <c r="E78" i="37"/>
  <c r="E54" i="37" s="1"/>
  <c r="AG53" i="36"/>
  <c r="AJ53" i="36"/>
  <c r="R48" i="36"/>
  <c r="R49" i="36"/>
  <c r="R40" i="36"/>
  <c r="R46" i="36"/>
  <c r="AG41" i="36"/>
  <c r="AJ38" i="36"/>
  <c r="AG38" i="36"/>
  <c r="P57" i="36"/>
  <c r="P55" i="36"/>
  <c r="E69" i="36"/>
  <c r="R34" i="36"/>
  <c r="AJ39" i="36"/>
  <c r="AG39" i="36"/>
  <c r="R45" i="36"/>
  <c r="R36" i="36"/>
  <c r="R51" i="36"/>
  <c r="R43" i="36"/>
  <c r="AG35" i="36"/>
  <c r="AJ35" i="36"/>
  <c r="Q56" i="36"/>
  <c r="AE56" i="36"/>
  <c r="AH56" i="36" s="1"/>
  <c r="AH60" i="36" s="1"/>
  <c r="AH57" i="36"/>
  <c r="AG56" i="36"/>
  <c r="AI51" i="36" s="1"/>
  <c r="R39" i="36"/>
  <c r="R52" i="36"/>
  <c r="AJ49" i="36"/>
  <c r="AG49" i="36"/>
  <c r="Z57" i="39" l="1"/>
  <c r="X59" i="39"/>
  <c r="Z59" i="39" s="1"/>
  <c r="Z45" i="39"/>
  <c r="X51" i="39"/>
  <c r="Z51" i="39" s="1"/>
  <c r="X94" i="37"/>
  <c r="G78" i="37"/>
  <c r="G54" i="37" s="1"/>
  <c r="G76" i="37"/>
  <c r="G59" i="37" s="1"/>
  <c r="H54" i="37"/>
  <c r="E65" i="37"/>
  <c r="F76" i="37"/>
  <c r="F59" i="37" s="1"/>
  <c r="AI39" i="36"/>
  <c r="AI41" i="36"/>
  <c r="E60" i="37"/>
  <c r="E58" i="37"/>
  <c r="E64" i="37" s="1"/>
  <c r="G65" i="37"/>
  <c r="E79" i="37"/>
  <c r="E55" i="37" s="1"/>
  <c r="AF56" i="36"/>
  <c r="AF60" i="36" s="1"/>
  <c r="F80" i="37"/>
  <c r="F56" i="37" s="1"/>
  <c r="H56" i="37" s="1"/>
  <c r="AI53" i="36"/>
  <c r="E63" i="37"/>
  <c r="F57" i="37"/>
  <c r="F63" i="37" s="1"/>
  <c r="G57" i="37"/>
  <c r="X60" i="37"/>
  <c r="W57" i="37"/>
  <c r="W63" i="37" s="1"/>
  <c r="W96" i="37"/>
  <c r="W69" i="37" s="1"/>
  <c r="W71" i="37" s="1"/>
  <c r="V90" i="37"/>
  <c r="V53" i="37" s="1"/>
  <c r="V59" i="37" s="1"/>
  <c r="X85" i="37"/>
  <c r="X90" i="37" s="1"/>
  <c r="X53" i="37" s="1"/>
  <c r="W85" i="37"/>
  <c r="W90" i="37" s="1"/>
  <c r="W53" i="37" s="1"/>
  <c r="W59" i="37" s="1"/>
  <c r="V88" i="37"/>
  <c r="V93" i="37" s="1"/>
  <c r="V56" i="37" s="1"/>
  <c r="V62" i="37" s="1"/>
  <c r="W88" i="37"/>
  <c r="W93" i="37" s="1"/>
  <c r="W56" i="37" s="1"/>
  <c r="W62" i="37" s="1"/>
  <c r="V87" i="37"/>
  <c r="X88" i="37"/>
  <c r="X93" i="37" s="1"/>
  <c r="X56" i="37" s="1"/>
  <c r="V95" i="37"/>
  <c r="W86" i="37"/>
  <c r="W91" i="37" s="1"/>
  <c r="W54" i="37" s="1"/>
  <c r="W60" i="37" s="1"/>
  <c r="V65" i="37"/>
  <c r="W84" i="37"/>
  <c r="V73" i="37"/>
  <c r="X84" i="37"/>
  <c r="X65" i="37" s="1"/>
  <c r="V96" i="37"/>
  <c r="V69" i="37" s="1"/>
  <c r="V71" i="37" s="1"/>
  <c r="V57" i="37"/>
  <c r="V63" i="37" s="1"/>
  <c r="V74" i="37"/>
  <c r="E53" i="37"/>
  <c r="F77" i="37"/>
  <c r="F53" i="37" s="1"/>
  <c r="G77" i="37"/>
  <c r="G53" i="37" s="1"/>
  <c r="F65" i="37"/>
  <c r="X57" i="37"/>
  <c r="X96" i="37"/>
  <c r="X69" i="37" s="1"/>
  <c r="AG60" i="36"/>
  <c r="AI37" i="36"/>
  <c r="AI42" i="36"/>
  <c r="AI52" i="36"/>
  <c r="AI47" i="36"/>
  <c r="AH61" i="36"/>
  <c r="X75" i="36"/>
  <c r="AI35" i="36"/>
  <c r="AI50" i="36"/>
  <c r="AI36" i="36"/>
  <c r="AI43" i="36"/>
  <c r="AI34" i="36"/>
  <c r="R55" i="36"/>
  <c r="E71" i="36" s="1"/>
  <c r="AI38" i="36"/>
  <c r="AI40" i="36"/>
  <c r="AG57" i="36"/>
  <c r="AI49" i="36"/>
  <c r="AI48" i="36"/>
  <c r="AI44" i="36"/>
  <c r="AG55" i="36"/>
  <c r="AG59" i="36" s="1"/>
  <c r="AI46" i="36"/>
  <c r="V73" i="36"/>
  <c r="E70" i="36"/>
  <c r="S55" i="36"/>
  <c r="AI45" i="36"/>
  <c r="H65" i="37" l="1"/>
  <c r="H59" i="37"/>
  <c r="I53" i="37"/>
  <c r="G79" i="37"/>
  <c r="G55" i="37" s="1"/>
  <c r="F79" i="37"/>
  <c r="F55" i="37" s="1"/>
  <c r="G63" i="37"/>
  <c r="I63" i="37" s="1"/>
  <c r="I57" i="37"/>
  <c r="X73" i="37"/>
  <c r="X62" i="37"/>
  <c r="Y62" i="37" s="1"/>
  <c r="Z56" i="37"/>
  <c r="V92" i="37"/>
  <c r="V55" i="37" s="1"/>
  <c r="V61" i="37" s="1"/>
  <c r="X87" i="37"/>
  <c r="X92" i="37" s="1"/>
  <c r="X55" i="37" s="1"/>
  <c r="W87" i="37"/>
  <c r="W92" i="37" s="1"/>
  <c r="W55" i="37" s="1"/>
  <c r="W61" i="37" s="1"/>
  <c r="X71" i="37"/>
  <c r="Z71" i="37" s="1"/>
  <c r="Z69" i="37"/>
  <c r="Z53" i="37"/>
  <c r="X59" i="37"/>
  <c r="Z59" i="37" s="1"/>
  <c r="Z54" i="37"/>
  <c r="X63" i="37"/>
  <c r="Z63" i="37" s="1"/>
  <c r="Z57" i="37"/>
  <c r="W65" i="37"/>
  <c r="Y65" i="37" s="1"/>
  <c r="W73" i="37"/>
  <c r="V97" i="37"/>
  <c r="V70" i="37" s="1"/>
  <c r="V72" i="37" s="1"/>
  <c r="V58" i="37"/>
  <c r="V64" i="37" s="1"/>
  <c r="Y60" i="37"/>
  <c r="H70" i="36"/>
  <c r="AG61" i="36"/>
  <c r="AI55" i="36"/>
  <c r="V75" i="36" s="1"/>
  <c r="Y75" i="36" s="1"/>
  <c r="V74" i="36"/>
  <c r="AJ55" i="36"/>
  <c r="H71" i="36"/>
  <c r="E76" i="36" s="1"/>
  <c r="Y73" i="37" l="1"/>
  <c r="I55" i="37"/>
  <c r="X61" i="37"/>
  <c r="Z61" i="37" s="1"/>
  <c r="Z55" i="37"/>
  <c r="H72" i="36"/>
  <c r="H73" i="36" s="1"/>
  <c r="H74" i="36" s="1"/>
  <c r="Y74" i="36"/>
  <c r="G76" i="36"/>
  <c r="G62" i="36" s="1"/>
  <c r="E66" i="36"/>
  <c r="E62" i="36"/>
  <c r="F76" i="36"/>
  <c r="E61" i="36" l="1"/>
  <c r="E72" i="36"/>
  <c r="F78" i="36" s="1"/>
  <c r="F60" i="36" s="1"/>
  <c r="E73" i="36"/>
  <c r="E74" i="36" s="1"/>
  <c r="V80" i="36"/>
  <c r="F61" i="36"/>
  <c r="F65" i="36" s="1"/>
  <c r="Y76" i="36"/>
  <c r="E78" i="36"/>
  <c r="E60" i="36" s="1"/>
  <c r="E77" i="36"/>
  <c r="F66" i="36"/>
  <c r="F62" i="36"/>
  <c r="H62" i="36" s="1"/>
  <c r="G66" i="36"/>
  <c r="H66" i="36" s="1"/>
  <c r="G78" i="36" l="1"/>
  <c r="G60" i="36" s="1"/>
  <c r="H60" i="36" s="1"/>
  <c r="E65" i="36"/>
  <c r="G61" i="36"/>
  <c r="G65" i="36" s="1"/>
  <c r="I65" i="36" s="1"/>
  <c r="E59" i="36"/>
  <c r="F77" i="36"/>
  <c r="F59" i="36" s="1"/>
  <c r="G77" i="36"/>
  <c r="G59" i="36" s="1"/>
  <c r="Y77" i="36"/>
  <c r="Y78" i="36" s="1"/>
  <c r="V86" i="36"/>
  <c r="V76" i="36"/>
  <c r="V77" i="36"/>
  <c r="V78" i="36" s="1"/>
  <c r="I61" i="36"/>
  <c r="W80" i="36"/>
  <c r="V70" i="36"/>
  <c r="X80" i="36"/>
  <c r="X65" i="36" s="1"/>
  <c r="V65" i="36"/>
  <c r="I59" i="36" l="1"/>
  <c r="X70" i="36"/>
  <c r="Y65" i="36"/>
  <c r="X82" i="36"/>
  <c r="X85" i="36" s="1"/>
  <c r="X60" i="36" s="1"/>
  <c r="V81" i="36"/>
  <c r="V82" i="36"/>
  <c r="V85" i="36" s="1"/>
  <c r="V60" i="36" s="1"/>
  <c r="V63" i="36" s="1"/>
  <c r="W82" i="36"/>
  <c r="W85" i="36" s="1"/>
  <c r="W60" i="36" s="1"/>
  <c r="W63" i="36" s="1"/>
  <c r="W70" i="36"/>
  <c r="W65" i="36"/>
  <c r="V61" i="36"/>
  <c r="V64" i="36" s="1"/>
  <c r="V87" i="36"/>
  <c r="V68" i="36" s="1"/>
  <c r="V69" i="36" s="1"/>
  <c r="X86" i="36"/>
  <c r="W86" i="36"/>
  <c r="Y70" i="36" l="1"/>
  <c r="W87" i="36"/>
  <c r="W68" i="36" s="1"/>
  <c r="W69" i="36" s="1"/>
  <c r="W61" i="36"/>
  <c r="W64" i="36" s="1"/>
  <c r="X87" i="36"/>
  <c r="X68" i="36" s="1"/>
  <c r="X61" i="36"/>
  <c r="V84" i="36"/>
  <c r="V59" i="36" s="1"/>
  <c r="V62" i="36" s="1"/>
  <c r="X81" i="36"/>
  <c r="X84" i="36" s="1"/>
  <c r="X59" i="36" s="1"/>
  <c r="W81" i="36"/>
  <c r="W84" i="36" s="1"/>
  <c r="W59" i="36" s="1"/>
  <c r="W62" i="36" s="1"/>
  <c r="X63" i="36"/>
  <c r="Y63" i="36" s="1"/>
  <c r="Z60" i="36"/>
  <c r="X62" i="36" l="1"/>
  <c r="Z62" i="36" s="1"/>
  <c r="Z59" i="36"/>
  <c r="X64" i="36"/>
  <c r="Z64" i="36" s="1"/>
  <c r="Z61" i="36"/>
  <c r="Z68" i="36"/>
  <c r="X69" i="36"/>
  <c r="Z69" i="36" s="1"/>
</calcChain>
</file>

<file path=xl/comments1.xml><?xml version="1.0" encoding="utf-8"?>
<comments xmlns="http://schemas.openxmlformats.org/spreadsheetml/2006/main">
  <authors>
    <author>Will Hopkins</author>
  </authors>
  <commentList>
    <comment ref="B2" authorId="0">
      <text>
        <r>
          <rPr>
            <sz val="8"/>
            <color indexed="81"/>
            <rFont val="Tahoma"/>
            <family val="2"/>
          </rPr>
          <t xml:space="preserve">Hopkins WG (2015). Spreadsheets for analysis of validity and reliability. Sportscience 19, 36-42 (sportsci.org/2015/ValidRely.htm)
</t>
        </r>
      </text>
    </comment>
    <comment ref="S55" authorId="0">
      <text>
        <r>
          <rPr>
            <sz val="8"/>
            <color indexed="81"/>
            <rFont val="Tahoma"/>
            <family val="2"/>
          </rPr>
          <t>Bartko's (1966) constant k.</t>
        </r>
      </text>
    </comment>
    <comment ref="AJ55" authorId="0">
      <text>
        <r>
          <rPr>
            <sz val="8"/>
            <color indexed="81"/>
            <rFont val="Tahoma"/>
            <family val="2"/>
          </rPr>
          <t>Bartko's (1966) constant k.</t>
        </r>
      </text>
    </comment>
  </commentList>
</comments>
</file>

<file path=xl/comments2.xml><?xml version="1.0" encoding="utf-8"?>
<comments xmlns="http://schemas.openxmlformats.org/spreadsheetml/2006/main">
  <authors>
    <author>Will Hopkins</author>
  </authors>
  <commentList>
    <comment ref="B2" authorId="0">
      <text>
        <r>
          <rPr>
            <sz val="8"/>
            <color indexed="81"/>
            <rFont val="Tahoma"/>
            <family val="2"/>
          </rPr>
          <t xml:space="preserve">Hopkins WG (2015). Spreadsheets for analysis of validity and reliability. Sportscience 19, 36-42 (sportsci.org/2015/ValidRely.htm)
</t>
        </r>
      </text>
    </comment>
    <comment ref="D57" authorId="0">
      <text>
        <r>
          <rPr>
            <sz val="8"/>
            <color indexed="81"/>
            <rFont val="Tahoma"/>
            <family val="2"/>
          </rPr>
          <t>That is, the expected within-subject SD if subjects are assessed or re-assessed by the same rater(s) or if all the subjects play or replay in the same game(s).</t>
        </r>
      </text>
    </comment>
    <comment ref="D58" authorId="0">
      <text>
        <r>
          <rPr>
            <sz val="8"/>
            <color indexed="81"/>
            <rFont val="Tahoma"/>
            <family val="2"/>
          </rPr>
          <t>That is, the expected within-subject SD when every subject is assessed or re-assessed by different raters or play or replay in different games</t>
        </r>
        <r>
          <rPr>
            <b/>
            <sz val="8"/>
            <color indexed="81"/>
            <rFont val="Tahoma"/>
            <family val="2"/>
          </rPr>
          <t>.</t>
        </r>
      </text>
    </comment>
    <comment ref="D59" authorId="0">
      <text>
        <r>
          <rPr>
            <sz val="8"/>
            <color indexed="81"/>
            <rFont val="Tahoma"/>
            <family val="2"/>
          </rPr>
          <t>That is, the expected correlation if subjects are assessed or re-assessed by the same rater(s) or if all the subjects play or replay in the same game(s).</t>
        </r>
      </text>
    </comment>
    <comment ref="D60" authorId="0">
      <text>
        <r>
          <rPr>
            <sz val="8"/>
            <color indexed="81"/>
            <rFont val="Tahoma"/>
            <family val="2"/>
          </rPr>
          <t>That is, the expected correlation when every subject is assessed and re-assessed by different raters or play and replay in different games.</t>
        </r>
      </text>
    </comment>
    <comment ref="H61" authorId="0">
      <text>
        <r>
          <rPr>
            <sz val="8"/>
            <color indexed="81"/>
            <rFont val="Tahoma"/>
            <family val="2"/>
          </rPr>
          <t xml:space="preserve">If the number of trials is the same as the number of columns of data, the ICC for the same raters is the alpha reliability.
</t>
        </r>
      </text>
    </comment>
    <comment ref="U63" authorId="0">
      <text>
        <r>
          <rPr>
            <sz val="8"/>
            <color indexed="81"/>
            <rFont val="Tahoma"/>
            <family val="2"/>
          </rPr>
          <t>That is, the expected within-subject SD if subjects are assessed or re-assessed by the same rater(s) or if all the subjects play or replay in the same game(s).</t>
        </r>
      </text>
    </comment>
    <comment ref="U64" authorId="0">
      <text>
        <r>
          <rPr>
            <sz val="8"/>
            <color indexed="81"/>
            <rFont val="Tahoma"/>
            <family val="2"/>
          </rPr>
          <t>That is, the expected within-subject SD when every subject is assessed or re-assessed by different raters or play or replay in different games</t>
        </r>
        <r>
          <rPr>
            <b/>
            <sz val="8"/>
            <color indexed="81"/>
            <rFont val="Tahoma"/>
            <family val="2"/>
          </rPr>
          <t>.</t>
        </r>
      </text>
    </comment>
    <comment ref="U65" authorId="0">
      <text>
        <r>
          <rPr>
            <sz val="8"/>
            <color indexed="81"/>
            <rFont val="Tahoma"/>
            <family val="2"/>
          </rPr>
          <t>That is, the expected correlation if subjects are assessed or re-assessed by the same rater(s) or if all the subjects play or replay in the same game(s).</t>
        </r>
      </text>
    </comment>
    <comment ref="U66" authorId="0">
      <text>
        <r>
          <rPr>
            <sz val="8"/>
            <color indexed="81"/>
            <rFont val="Tahoma"/>
            <family val="2"/>
          </rPr>
          <t>That is, the expected correlation when every subject is assessed and re-assessed by different raters or play and replay in different games.</t>
        </r>
      </text>
    </comment>
    <comment ref="Y67" authorId="0">
      <text>
        <r>
          <rPr>
            <sz val="8"/>
            <color indexed="81"/>
            <rFont val="Tahoma"/>
            <family val="2"/>
          </rPr>
          <t>Use raw data for alpha reliability of Likert-scale items.</t>
        </r>
      </text>
    </comment>
  </commentList>
</comments>
</file>

<file path=xl/comments3.xml><?xml version="1.0" encoding="utf-8"?>
<comments xmlns="http://schemas.openxmlformats.org/spreadsheetml/2006/main">
  <authors>
    <author>Will Hopkins</author>
  </authors>
  <commentList>
    <comment ref="B2" authorId="0">
      <text>
        <r>
          <rPr>
            <sz val="8"/>
            <color indexed="81"/>
            <rFont val="Tahoma"/>
            <family val="2"/>
          </rPr>
          <t xml:space="preserve">Hopkins WG (2015). Spreadsheets for analysis of validity and reliability. Sportscience 19, 36-42 (sportsci.org/2015/ValidRely.htm)
</t>
        </r>
      </text>
    </comment>
    <comment ref="S55" authorId="0">
      <text>
        <r>
          <rPr>
            <sz val="8"/>
            <color indexed="81"/>
            <rFont val="Tahoma"/>
            <family val="2"/>
          </rPr>
          <t>Bartko's (1966) constant k.</t>
        </r>
      </text>
    </comment>
    <comment ref="AJ55" authorId="0">
      <text>
        <r>
          <rPr>
            <sz val="8"/>
            <color indexed="81"/>
            <rFont val="Tahoma"/>
            <family val="2"/>
          </rPr>
          <t>Bartko's (1966) constant k.</t>
        </r>
      </text>
    </comment>
  </commentList>
</comments>
</file>

<file path=xl/comments4.xml><?xml version="1.0" encoding="utf-8"?>
<comments xmlns="http://schemas.openxmlformats.org/spreadsheetml/2006/main">
  <authors>
    <author>Will Hopkins</author>
  </authors>
  <commentList>
    <comment ref="D45" authorId="0">
      <text>
        <r>
          <rPr>
            <sz val="8"/>
            <color indexed="81"/>
            <rFont val="Tahoma"/>
            <family val="2"/>
          </rPr>
          <t>That is, the expected within-subject SD if subjects are assessed or re-assessed by the same rater(s) or if all the subjects play or replay in the same game(s).</t>
        </r>
      </text>
    </comment>
    <comment ref="D46" authorId="0">
      <text>
        <r>
          <rPr>
            <sz val="8"/>
            <color indexed="81"/>
            <rFont val="Tahoma"/>
            <family val="2"/>
          </rPr>
          <t>That is, the expected within-subject SD when every subject is assessed or re-assessed by different raters or play or replay in different games</t>
        </r>
        <r>
          <rPr>
            <b/>
            <sz val="8"/>
            <color indexed="81"/>
            <rFont val="Tahoma"/>
            <family val="2"/>
          </rPr>
          <t>.</t>
        </r>
      </text>
    </comment>
    <comment ref="D47" authorId="0">
      <text>
        <r>
          <rPr>
            <sz val="8"/>
            <color indexed="81"/>
            <rFont val="Tahoma"/>
            <family val="2"/>
          </rPr>
          <t>That is, the expected correlation if subjects are assessed or re-assessed by the same rater(s) or if all the subjects play or replay in the same game(s).</t>
        </r>
      </text>
    </comment>
    <comment ref="D48" authorId="0">
      <text>
        <r>
          <rPr>
            <sz val="8"/>
            <color indexed="81"/>
            <rFont val="Tahoma"/>
            <family val="2"/>
          </rPr>
          <t>That is, the expected correlation when every subject is assessed and re-assessed by different raters or play and replay in different games.</t>
        </r>
      </text>
    </comment>
    <comment ref="H49" authorId="0">
      <text>
        <r>
          <rPr>
            <sz val="8"/>
            <color indexed="81"/>
            <rFont val="Tahoma"/>
            <family val="2"/>
          </rPr>
          <t xml:space="preserve">If the number of trials is the same as the number of columns of data, the ICC for the same raters is the alpha reliability.
</t>
        </r>
      </text>
    </comment>
    <comment ref="U51" authorId="0">
      <text>
        <r>
          <rPr>
            <sz val="8"/>
            <color indexed="81"/>
            <rFont val="Tahoma"/>
            <family val="2"/>
          </rPr>
          <t>That is, the expected within-subject SD if subjects are assessed or re-assessed by the same rater(s) or if all the subjects play or replay in the same game(s).</t>
        </r>
      </text>
    </comment>
    <comment ref="U52" authorId="0">
      <text>
        <r>
          <rPr>
            <sz val="8"/>
            <color indexed="81"/>
            <rFont val="Tahoma"/>
            <family val="2"/>
          </rPr>
          <t>That is, the expected within-subject SD when every subject is assessed or re-assessed by different raters or play or replay in different games</t>
        </r>
        <r>
          <rPr>
            <b/>
            <sz val="8"/>
            <color indexed="81"/>
            <rFont val="Tahoma"/>
            <family val="2"/>
          </rPr>
          <t>.</t>
        </r>
      </text>
    </comment>
    <comment ref="U53" authorId="0">
      <text>
        <r>
          <rPr>
            <sz val="8"/>
            <color indexed="81"/>
            <rFont val="Tahoma"/>
            <family val="2"/>
          </rPr>
          <t>That is, the expected correlation if subjects are assessed or re-assessed by the same rater(s) or if all the subjects play or replay in the same game(s).</t>
        </r>
      </text>
    </comment>
    <comment ref="U54" authorId="0">
      <text>
        <r>
          <rPr>
            <sz val="8"/>
            <color indexed="81"/>
            <rFont val="Tahoma"/>
            <family val="2"/>
          </rPr>
          <t>That is, the expected correlation when every subject is assessed and re-assessed by different raters or play and replay in different games.</t>
        </r>
      </text>
    </comment>
    <comment ref="Y55" authorId="0">
      <text>
        <r>
          <rPr>
            <sz val="8"/>
            <color indexed="81"/>
            <rFont val="Tahoma"/>
            <family val="2"/>
          </rPr>
          <t>Use raw data for alpha reliability of Likert-scale items.</t>
        </r>
      </text>
    </comment>
  </commentList>
</comments>
</file>

<file path=xl/sharedStrings.xml><?xml version="1.0" encoding="utf-8"?>
<sst xmlns="http://schemas.openxmlformats.org/spreadsheetml/2006/main" count="1963" uniqueCount="159">
  <si>
    <t>n</t>
  </si>
  <si>
    <t>SD</t>
  </si>
  <si>
    <t>Mean</t>
  </si>
  <si>
    <t>True values</t>
  </si>
  <si>
    <t>Alex</t>
  </si>
  <si>
    <t>Ariel</t>
  </si>
  <si>
    <t>Ashley</t>
  </si>
  <si>
    <t>Bernie</t>
  </si>
  <si>
    <t>Casey</t>
  </si>
  <si>
    <t>Chris</t>
  </si>
  <si>
    <t>Corey</t>
  </si>
  <si>
    <t>Courtney</t>
  </si>
  <si>
    <t>Devon</t>
  </si>
  <si>
    <t>Drew</t>
  </si>
  <si>
    <t>Dylan</t>
  </si>
  <si>
    <t>Frances</t>
  </si>
  <si>
    <t>Gene</t>
  </si>
  <si>
    <t>Jaimie</t>
  </si>
  <si>
    <t>Jean</t>
  </si>
  <si>
    <t>Jesse</t>
  </si>
  <si>
    <t>Jo</t>
  </si>
  <si>
    <t>Jordan</t>
  </si>
  <si>
    <t>Jody</t>
  </si>
  <si>
    <t>Kade</t>
  </si>
  <si>
    <t>Analysis of raw data</t>
  </si>
  <si>
    <t>Between-subject CV (%)</t>
  </si>
  <si>
    <r>
      <t xml:space="preserve">Equivalent </t>
    </r>
    <r>
      <rPr>
        <sz val="10"/>
        <rFont val="Symbol"/>
        <family val="1"/>
        <charset val="2"/>
      </rPr>
      <t>´¤¸</t>
    </r>
    <r>
      <rPr>
        <sz val="10"/>
        <rFont val="Arial"/>
        <family val="2"/>
      </rPr>
      <t xml:space="preserve"> factor SD</t>
    </r>
  </si>
  <si>
    <t>SumSquares</t>
  </si>
  <si>
    <t>total</t>
  </si>
  <si>
    <t>error</t>
  </si>
  <si>
    <t>DegFree</t>
  </si>
  <si>
    <t>AthleteID</t>
  </si>
  <si>
    <t>DepVar</t>
  </si>
  <si>
    <t>LnDepVar</t>
  </si>
  <si>
    <t>Lose/tie/win</t>
  </si>
  <si>
    <t>Game1</t>
  </si>
  <si>
    <t>Game2</t>
  </si>
  <si>
    <t>Game3</t>
  </si>
  <si>
    <t>Game4</t>
  </si>
  <si>
    <t>Game5</t>
  </si>
  <si>
    <t>Game6</t>
  </si>
  <si>
    <t>Game7</t>
  </si>
  <si>
    <t>Game8</t>
  </si>
  <si>
    <t>Game9</t>
  </si>
  <si>
    <t>Game10</t>
  </si>
  <si>
    <t>GameID</t>
  </si>
  <si>
    <t>LoseTieWin</t>
  </si>
  <si>
    <t>Subjects</t>
  </si>
  <si>
    <t>Games</t>
  </si>
  <si>
    <t>(rows)</t>
  </si>
  <si>
    <t>SD^2</t>
  </si>
  <si>
    <t>SE^2 of SD^2</t>
  </si>
  <si>
    <t>SE of SD^2</t>
  </si>
  <si>
    <t>Effect of lose/tie/win (%)</t>
  </si>
  <si>
    <t>Back-transformed:</t>
  </si>
  <si>
    <t>CV (%)</t>
  </si>
  <si>
    <t>ICC</t>
  </si>
  <si>
    <t>LCL</t>
  </si>
  <si>
    <t>UCL</t>
  </si>
  <si>
    <t>Error and ICC for mean of</t>
  </si>
  <si>
    <t>trials</t>
  </si>
  <si>
    <t>Error SD</t>
  </si>
  <si>
    <t>True subject variance</t>
  </si>
  <si>
    <t>True subject SD</t>
  </si>
  <si>
    <t>Observed subject variance</t>
  </si>
  <si>
    <t>Observed subject SD</t>
  </si>
  <si>
    <t>F ratio</t>
  </si>
  <si>
    <t>Observed game variance</t>
  </si>
  <si>
    <t>True game variance</t>
  </si>
  <si>
    <t>Observed game SD</t>
  </si>
  <si>
    <t>True game SD</t>
  </si>
  <si>
    <t>Obsvd subj variance</t>
  </si>
  <si>
    <t>Obsvd game variance</t>
  </si>
  <si>
    <t>True subj variance</t>
  </si>
  <si>
    <t>±CL</t>
  </si>
  <si>
    <r>
      <t>´¤¸</t>
    </r>
    <r>
      <rPr>
        <sz val="10"/>
        <rFont val="Arial"/>
        <family val="2"/>
      </rPr>
      <t>CL</t>
    </r>
  </si>
  <si>
    <t>(columns)</t>
  </si>
  <si>
    <t>Within-subject random error (%)</t>
  </si>
  <si>
    <t>Analysis of log-transformed data</t>
  </si>
  <si>
    <t>Observed subject factor SD</t>
  </si>
  <si>
    <t>Error factor SD</t>
  </si>
  <si>
    <t>Observed game factor SD</t>
  </si>
  <si>
    <t>True subject factor SD</t>
  </si>
  <si>
    <t>True game factor SD</t>
  </si>
  <si>
    <t>Depedent variable</t>
  </si>
  <si>
    <t>100*log(observed values)</t>
  </si>
  <si>
    <t>Simulation to create raw observed values</t>
  </si>
  <si>
    <t>All subjects have been given the same variability from measurement to measurement, the within-subject random error.</t>
  </si>
  <si>
    <t>Sequence of development of the simulation:</t>
  </si>
  <si>
    <t>The data are simulated by assigning percent standard deviations (coefficients of variation) to the differences between subjects and to the within-subject random error.</t>
  </si>
  <si>
    <t>For sums of</t>
  </si>
  <si>
    <t>squares</t>
  </si>
  <si>
    <r>
      <t>Hover cursor</t>
    </r>
    <r>
      <rPr>
        <sz val="10"/>
        <rFont val="Arial"/>
        <family val="2"/>
      </rPr>
      <t xml:space="preserve"> for citation:</t>
    </r>
  </si>
  <si>
    <t>Read the article for an explanation of the analyses.</t>
  </si>
  <si>
    <t>Read comment.</t>
  </si>
  <si>
    <t>Choose confidence level (%):</t>
  </si>
  <si>
    <t xml:space="preserve">   depending on whether the team lost, tied, or won the game.</t>
  </si>
  <si>
    <t xml:space="preserve">     or values of repeated tests on athletes, when you are confident that the tests are in some sense all similar (no habituation or order effects).  </t>
  </si>
  <si>
    <t>If you have missing raw data, you will have to delete #NUM! from the corresponding cells here.</t>
  </si>
  <si>
    <t>SIMULATION AND ANALYSIS FOR 1-WAY RELIABILITY</t>
  </si>
  <si>
    <t>SIMULATION AND ANALYSIS FOR 2-WAY RELIABILITY</t>
  </si>
  <si>
    <t>The data are 10 repeated measurements on each of 20 subjects.  The data could be something like distance of high-speed running in games</t>
  </si>
  <si>
    <r>
      <t xml:space="preserve">To generate a whole new set of data, click in a blank cell away from other cells and hit </t>
    </r>
    <r>
      <rPr>
        <b/>
        <sz val="10"/>
        <rFont val="Arial"/>
        <family val="2"/>
      </rPr>
      <t>Ctrl-D</t>
    </r>
    <r>
      <rPr>
        <sz val="10"/>
        <rFont val="Arial"/>
        <family val="2"/>
      </rPr>
      <t>.</t>
    </r>
  </si>
  <si>
    <t>This spreadsheet simulates and analyzes data for a 1-way reliability study. It was adapted from a spreadsheet in the article Understanding Stats via Simulations.</t>
  </si>
  <si>
    <t>For this 1-way analysis of reliability, the measurements are not associated with particular games.</t>
  </si>
  <si>
    <t xml:space="preserve">An analysis is also shown for the raw data, and for the mean of a chosen number of repeated measurements. </t>
  </si>
  <si>
    <r>
      <t xml:space="preserve">This spreadsheet works with missing data. </t>
    </r>
    <r>
      <rPr>
        <sz val="10"/>
        <rFont val="Arial"/>
        <family val="2"/>
      </rPr>
      <t>Try deleting some. Copy-drag or copy-paste from adjacent cells to reinstate those cells.</t>
    </r>
  </si>
  <si>
    <r>
      <t xml:space="preserve">You can also delete or copy-and-insert </t>
    </r>
    <r>
      <rPr>
        <b/>
        <sz val="10"/>
        <rFont val="Arial"/>
        <family val="2"/>
      </rPr>
      <t xml:space="preserve">whole </t>
    </r>
    <r>
      <rPr>
        <sz val="10"/>
        <rFont val="Arial"/>
        <family val="2"/>
      </rPr>
      <t xml:space="preserve">rows and </t>
    </r>
    <r>
      <rPr>
        <b/>
        <sz val="10"/>
        <rFont val="Arial"/>
        <family val="2"/>
      </rPr>
      <t>whole</t>
    </r>
    <r>
      <rPr>
        <sz val="10"/>
        <rFont val="Arial"/>
        <family val="2"/>
      </rPr>
      <t xml:space="preserve"> columns.  Don't delete and don't copy-and-insert the </t>
    </r>
    <r>
      <rPr>
        <b/>
        <sz val="10"/>
        <rFont val="Arial"/>
        <family val="2"/>
      </rPr>
      <t>first data row</t>
    </r>
    <r>
      <rPr>
        <sz val="10"/>
        <rFont val="Arial"/>
        <family val="2"/>
      </rPr>
      <t xml:space="preserve"> or the </t>
    </r>
    <r>
      <rPr>
        <b/>
        <sz val="10"/>
        <rFont val="Arial"/>
        <family val="2"/>
      </rPr>
      <t>first five data columns</t>
    </r>
    <r>
      <rPr>
        <sz val="10"/>
        <rFont val="Arial"/>
        <family val="2"/>
      </rPr>
      <t xml:space="preserve"> (or you will corrupt the spreadsheet).</t>
    </r>
  </si>
  <si>
    <t>The aim of the analysis is the same as before, but now the mean score in each game can be adjusted for, and the differences in the means can be expressed as an SD.</t>
  </si>
  <si>
    <r>
      <t>The effects of losing, tieing or winning are shown as percents.  Losing and winning have been given the same factor effect (</t>
    </r>
    <r>
      <rPr>
        <sz val="10"/>
        <rFont val="Symbol"/>
        <family val="1"/>
        <charset val="2"/>
      </rPr>
      <t>´</t>
    </r>
    <r>
      <rPr>
        <sz val="10"/>
        <rFont val="Arial"/>
        <family val="2"/>
      </rPr>
      <t xml:space="preserve">1.05 and </t>
    </r>
    <r>
      <rPr>
        <sz val="10"/>
        <rFont val="Symbol"/>
        <family val="1"/>
        <charset val="2"/>
      </rPr>
      <t>¸</t>
    </r>
    <r>
      <rPr>
        <sz val="10"/>
        <rFont val="Arial"/>
        <family val="2"/>
      </rPr>
      <t>1.05, which equal 5% and -4.5%).</t>
    </r>
  </si>
  <si>
    <t>L</t>
  </si>
  <si>
    <t>T</t>
  </si>
  <si>
    <t>W</t>
  </si>
  <si>
    <t>The effects of losing, tieing or winning (and any other within- or between-subject factors) can be estimated by including appropriate variables in the mixed model.</t>
  </si>
  <si>
    <t>Such data are unusual, but I have provided this spreadsheet to help you understand reliability, even if you don't use it for your own data.</t>
  </si>
  <si>
    <t>Observed subject CV (%)</t>
  </si>
  <si>
    <t>True subject CV (%)</t>
  </si>
  <si>
    <t>Observed game CV (%)</t>
  </si>
  <si>
    <t>True game CV (%)</t>
  </si>
  <si>
    <t>Error CV (%)</t>
  </si>
  <si>
    <t>Most straightforward reliability analyses can be done with this spreadsheet or the earlier one for consecutive pairwise analysis of repeated measurements.</t>
  </si>
  <si>
    <r>
      <t xml:space="preserve">When </t>
    </r>
    <r>
      <rPr>
        <b/>
        <sz val="10"/>
        <rFont val="Arial"/>
        <family val="2"/>
      </rPr>
      <t>familiarization</t>
    </r>
    <r>
      <rPr>
        <sz val="10"/>
        <rFont val="Arial"/>
        <family val="2"/>
      </rPr>
      <t xml:space="preserve"> or other habituation or order effects occur with only a few repeated measurements, use the </t>
    </r>
    <r>
      <rPr>
        <b/>
        <sz val="10"/>
        <rFont val="Arial"/>
        <family val="2"/>
      </rPr>
      <t>consecutive-pairwise spreadsheet.</t>
    </r>
  </si>
  <si>
    <r>
      <rPr>
        <b/>
        <sz val="10"/>
        <rFont val="Arial"/>
        <family val="2"/>
      </rPr>
      <t xml:space="preserve">This spreadsheet does NOT work with missing data. </t>
    </r>
    <r>
      <rPr>
        <sz val="10"/>
        <rFont val="Arial"/>
        <family val="2"/>
      </rPr>
      <t xml:space="preserve"> Use mixed modeling instead, with the data in the next spreadsheet. See instructions accompanying the article for this spreadsheet. </t>
    </r>
  </si>
  <si>
    <t>See the previous spreadsheet (1-way reliability) for an explanation of the generation of the data and for detailed instructions.</t>
  </si>
  <si>
    <t>Use this spreadsheet when there are no such effects, and when you can assume that the errors on each measurement are equal and independent of each other.</t>
  </si>
  <si>
    <t>The repeated measurements are nevertheless associated with known measuring occasions, such as multiple games or items in a psychometric inventory.</t>
  </si>
  <si>
    <t>Here the subjects are players in a team. They all experience a given increase or decrease in their scores from game to game,</t>
  </si>
  <si>
    <r>
      <rPr>
        <b/>
        <sz val="10"/>
        <rFont val="Arial"/>
        <family val="2"/>
      </rPr>
      <t xml:space="preserve">This spreadsheet does NOT work with missing data. </t>
    </r>
    <r>
      <rPr>
        <sz val="10"/>
        <rFont val="Arial"/>
        <family val="2"/>
      </rPr>
      <t xml:space="preserve"> It is provided here only to generate the next spreadsheet of data in the right format for mixed modeling.</t>
    </r>
  </si>
  <si>
    <t>Athlete</t>
  </si>
  <si>
    <t>The data therefore need log transformation before analysis, the aim of which is to estimate the two CVs and to express them as intraclass correlations. coefficient.</t>
  </si>
  <si>
    <r>
      <t>Change the values in</t>
    </r>
    <r>
      <rPr>
        <b/>
        <sz val="10"/>
        <color indexed="12"/>
        <rFont val="Arial"/>
        <family val="2"/>
      </rPr>
      <t xml:space="preserve"> bold blue</t>
    </r>
    <r>
      <rPr>
        <sz val="10"/>
        <rFont val="Arial"/>
        <family val="2"/>
      </rPr>
      <t xml:space="preserve"> and see what happens to the outcomes in </t>
    </r>
    <r>
      <rPr>
        <sz val="10"/>
        <color indexed="10"/>
        <rFont val="Arial"/>
        <family val="2"/>
      </rPr>
      <t>red</t>
    </r>
    <r>
      <rPr>
        <sz val="10"/>
        <rFont val="Arial"/>
        <family val="2"/>
      </rPr>
      <t xml:space="preserve">.   </t>
    </r>
  </si>
  <si>
    <r>
      <t xml:space="preserve">To analyze your own data, replace the main block of data shown in </t>
    </r>
    <r>
      <rPr>
        <sz val="10"/>
        <color indexed="20"/>
        <rFont val="Arial"/>
        <family val="2"/>
      </rPr>
      <t>plum color</t>
    </r>
    <r>
      <rPr>
        <sz val="10"/>
        <rFont val="Arial"/>
        <family val="2"/>
      </rPr>
      <t>.</t>
    </r>
  </si>
  <si>
    <r>
      <t xml:space="preserve">You can also delete or copy-and-insert </t>
    </r>
    <r>
      <rPr>
        <b/>
        <sz val="10"/>
        <rFont val="Arial"/>
        <family val="2"/>
      </rPr>
      <t xml:space="preserve">whole </t>
    </r>
    <r>
      <rPr>
        <sz val="10"/>
        <rFont val="Arial"/>
        <family val="2"/>
      </rPr>
      <t xml:space="preserve">rows and </t>
    </r>
    <r>
      <rPr>
        <b/>
        <sz val="10"/>
        <rFont val="Arial"/>
        <family val="2"/>
      </rPr>
      <t>whole</t>
    </r>
    <r>
      <rPr>
        <sz val="10"/>
        <rFont val="Arial"/>
        <family val="2"/>
      </rPr>
      <t xml:space="preserve"> columns.  </t>
    </r>
  </si>
  <si>
    <t xml:space="preserve">   Don't delete and don't copy-and-insert the first data row or the first five data columns (or you will corrupt the spreadsheet).</t>
  </si>
  <si>
    <t>For data requiring log transformation, whatever deletions and insertions you do to the block of raw data</t>
  </si>
  <si>
    <t xml:space="preserve">   will have to be done to the block of log-transformed data. Check that the right cells have been transformed.</t>
  </si>
  <si>
    <t>Do not use log transformation in one or more of the following situations:</t>
  </si>
  <si>
    <t>Use log transformation in one or more of the following situations:</t>
  </si>
  <si>
    <t xml:space="preserve">   the data can be zero or negative;</t>
  </si>
  <si>
    <t xml:space="preserve">   the data can only be positive and non-zero;</t>
  </si>
  <si>
    <t xml:space="preserve">   the data were measured from an arbitrary reference value;</t>
  </si>
  <si>
    <t xml:space="preserve">   the within-subject, between-subject or between-trial SD is more than ~20% of the mean;</t>
  </si>
  <si>
    <t xml:space="preserve">   the magnitude of the error is expected to be similar for all subjects.</t>
  </si>
  <si>
    <t xml:space="preserve">   the magnitude of the percent or factor error is expected to be similar for all subjects.</t>
  </si>
  <si>
    <t>&lt;– Insert or delete whole columns here –&gt;</t>
  </si>
  <si>
    <t>Do not copy/insert this row</t>
  </si>
  <si>
    <t>Error SD (same raters)</t>
  </si>
  <si>
    <t>Error factor SD (same raters)</t>
  </si>
  <si>
    <t>Error SD different raters)</t>
  </si>
  <si>
    <t>not yet available</t>
  </si>
  <si>
    <t>Error factor SD (different raters)</t>
  </si>
  <si>
    <t>ICC (same raters)</t>
  </si>
  <si>
    <t>ICC (different raters)</t>
  </si>
  <si>
    <t>Error CV (%) (same raters)</t>
  </si>
  <si>
    <t>Error SD (different raters)</t>
  </si>
  <si>
    <t>Error CV (%) different raters)</t>
  </si>
  <si>
    <t>Error CV (%) (different raters)</t>
  </si>
  <si>
    <t>Error SD same raters</t>
  </si>
  <si>
    <t>Error SD different raters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</si>
</sst>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0"/>
      <name val="Arial"/>
    </font>
    <font>
      <sz val="10"/>
      <name val="Arial"/>
      <family val="2"/>
    </font>
    <font>
      <sz val="10"/>
      <color indexed="12"/>
      <name val="Arial"/>
      <family val="2"/>
    </font>
    <font>
      <b/>
      <sz val="10"/>
      <name val="Arial"/>
      <family val="2"/>
    </font>
    <font>
      <sz val="10"/>
      <name val="Symbol"/>
      <family val="1"/>
      <charset val="2"/>
    </font>
    <font>
      <b/>
      <sz val="10"/>
      <color indexed="12"/>
      <name val="Arial"/>
      <family val="2"/>
    </font>
    <font>
      <sz val="10"/>
      <color rgb="FF0000FF"/>
      <name val="Arial"/>
      <family val="2"/>
    </font>
    <font>
      <b/>
      <sz val="10"/>
      <color rgb="FF0000FF"/>
      <name val="Arial"/>
      <family val="2"/>
    </font>
    <font>
      <sz val="10"/>
      <color rgb="FFFF0000"/>
      <name val="Arial"/>
      <family val="2"/>
    </font>
    <font>
      <b/>
      <sz val="10"/>
      <color rgb="FFFF0000"/>
      <name val="Arial"/>
      <family val="2"/>
    </font>
    <font>
      <sz val="10"/>
      <color rgb="FF800080"/>
      <name val="Arial"/>
      <family val="2"/>
    </font>
    <font>
      <b/>
      <sz val="11"/>
      <name val="Arial"/>
      <family val="2"/>
    </font>
    <font>
      <sz val="8"/>
      <color indexed="81"/>
      <name val="Tahoma"/>
      <family val="2"/>
    </font>
    <font>
      <sz val="10"/>
      <color indexed="10"/>
      <name val="Arial"/>
      <family val="2"/>
    </font>
    <font>
      <sz val="10"/>
      <color indexed="20"/>
      <name val="Arial"/>
      <family val="2"/>
    </font>
    <font>
      <sz val="9"/>
      <name val="Arial"/>
      <family val="2"/>
    </font>
    <font>
      <b/>
      <sz val="8"/>
      <color indexed="81"/>
      <name val="Tahoma"/>
      <family val="2"/>
    </font>
  </fonts>
  <fills count="15">
    <fill>
      <patternFill patternType="none"/>
    </fill>
    <fill>
      <patternFill patternType="gray125"/>
    </fill>
    <fill>
      <patternFill patternType="solid">
        <fgColor indexed="45"/>
        <bgColor indexed="64"/>
      </patternFill>
    </fill>
    <fill>
      <patternFill patternType="solid">
        <fgColor indexed="47"/>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55"/>
        <bgColor indexed="64"/>
      </patternFill>
    </fill>
    <fill>
      <patternFill patternType="solid">
        <fgColor rgb="FFCC99FF"/>
        <bgColor indexed="64"/>
      </patternFill>
    </fill>
    <fill>
      <patternFill patternType="solid">
        <fgColor rgb="FFC0C0C0"/>
        <bgColor indexed="64"/>
      </patternFill>
    </fill>
    <fill>
      <patternFill patternType="solid">
        <fgColor rgb="FF99CCFF"/>
        <bgColor indexed="64"/>
      </patternFill>
    </fill>
    <fill>
      <patternFill patternType="solid">
        <fgColor rgb="FF969696"/>
        <bgColor indexed="64"/>
      </patternFill>
    </fill>
    <fill>
      <patternFill patternType="solid">
        <fgColor rgb="FFFFFF99"/>
        <bgColor indexed="64"/>
      </patternFill>
    </fill>
    <fill>
      <patternFill patternType="solid">
        <fgColor rgb="FFFFCC99"/>
        <bgColor indexed="64"/>
      </patternFill>
    </fill>
    <fill>
      <patternFill patternType="solid">
        <fgColor rgb="FFCCFFCC"/>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s>
  <cellStyleXfs count="2">
    <xf numFmtId="0" fontId="0" fillId="0" borderId="0"/>
    <xf numFmtId="0" fontId="1" fillId="0" borderId="0"/>
  </cellStyleXfs>
  <cellXfs count="199">
    <xf numFmtId="0" fontId="0" fillId="0" borderId="0" xfId="0"/>
    <xf numFmtId="0" fontId="0" fillId="0" borderId="0" xfId="0" applyAlignment="1">
      <alignment horizontal="right"/>
    </xf>
    <xf numFmtId="0" fontId="0" fillId="0" borderId="0" xfId="0" applyAlignment="1">
      <alignment horizontal="center"/>
    </xf>
    <xf numFmtId="1" fontId="0" fillId="0" borderId="0" xfId="0" applyNumberFormat="1" applyAlignment="1">
      <alignment horizontal="center"/>
    </xf>
    <xf numFmtId="0" fontId="0" fillId="0" borderId="0" xfId="0" applyAlignment="1">
      <alignment horizontal="left"/>
    </xf>
    <xf numFmtId="0" fontId="0" fillId="0" borderId="0" xfId="0" applyFill="1"/>
    <xf numFmtId="1" fontId="0" fillId="3" borderId="0" xfId="0" applyNumberFormat="1" applyFill="1" applyAlignment="1">
      <alignment horizontal="center"/>
    </xf>
    <xf numFmtId="1" fontId="0" fillId="0" borderId="0" xfId="0" applyNumberFormat="1"/>
    <xf numFmtId="2" fontId="0" fillId="0" borderId="0" xfId="0" applyNumberFormat="1" applyAlignment="1">
      <alignment horizontal="left"/>
    </xf>
    <xf numFmtId="0" fontId="3" fillId="0" borderId="0" xfId="0" applyFont="1" applyAlignment="1">
      <alignment horizontal="left"/>
    </xf>
    <xf numFmtId="0" fontId="3" fillId="0" borderId="0" xfId="0" applyFont="1" applyAlignment="1">
      <alignment horizontal="center"/>
    </xf>
    <xf numFmtId="0" fontId="1" fillId="0" borderId="0" xfId="0" applyFont="1"/>
    <xf numFmtId="0" fontId="1" fillId="0" borderId="0" xfId="1" applyFont="1"/>
    <xf numFmtId="0" fontId="1" fillId="0" borderId="0" xfId="1"/>
    <xf numFmtId="0" fontId="1" fillId="0" borderId="0" xfId="1" applyAlignment="1">
      <alignment horizontal="center"/>
    </xf>
    <xf numFmtId="0" fontId="1" fillId="0" borderId="0" xfId="1" applyAlignment="1">
      <alignment horizontal="right"/>
    </xf>
    <xf numFmtId="0" fontId="1" fillId="2" borderId="0" xfId="1" applyFill="1"/>
    <xf numFmtId="0" fontId="3" fillId="0" borderId="0" xfId="1" applyFont="1" applyFill="1" applyAlignment="1">
      <alignment horizontal="left"/>
    </xf>
    <xf numFmtId="0" fontId="1" fillId="0" borderId="0" xfId="1" applyFill="1" applyAlignment="1">
      <alignment horizontal="center"/>
    </xf>
    <xf numFmtId="0" fontId="1" fillId="2" borderId="0" xfId="1" applyFill="1" applyAlignment="1">
      <alignment horizontal="center" wrapText="1"/>
    </xf>
    <xf numFmtId="0" fontId="1" fillId="0" borderId="0" xfId="1" applyAlignment="1">
      <alignment horizontal="center" wrapText="1"/>
    </xf>
    <xf numFmtId="0" fontId="1" fillId="0" borderId="0" xfId="1" applyFill="1" applyAlignment="1">
      <alignment horizontal="center" wrapText="1"/>
    </xf>
    <xf numFmtId="0" fontId="1" fillId="0" borderId="0" xfId="1" applyAlignment="1">
      <alignment horizontal="left"/>
    </xf>
    <xf numFmtId="0" fontId="1" fillId="2" borderId="0" xfId="1" applyFill="1" applyAlignment="1">
      <alignment horizontal="right"/>
    </xf>
    <xf numFmtId="0" fontId="2" fillId="0" borderId="0" xfId="1" applyFont="1" applyAlignment="1">
      <alignment horizontal="center"/>
    </xf>
    <xf numFmtId="0" fontId="1" fillId="2" borderId="0" xfId="1" applyFont="1" applyFill="1" applyAlignment="1">
      <alignment horizontal="center"/>
    </xf>
    <xf numFmtId="0" fontId="1" fillId="0" borderId="0" xfId="1" applyFill="1" applyAlignment="1">
      <alignment horizontal="left"/>
    </xf>
    <xf numFmtId="0" fontId="1" fillId="2" borderId="0" xfId="1" applyFont="1" applyFill="1" applyAlignment="1">
      <alignment horizontal="right"/>
    </xf>
    <xf numFmtId="0" fontId="1" fillId="10" borderId="0" xfId="1" applyFill="1" applyAlignment="1">
      <alignment horizontal="center"/>
    </xf>
    <xf numFmtId="1" fontId="1" fillId="3" borderId="0" xfId="1" applyNumberFormat="1" applyFill="1" applyAlignment="1">
      <alignment horizontal="center"/>
    </xf>
    <xf numFmtId="1" fontId="1" fillId="0" borderId="0" xfId="1" applyNumberFormat="1" applyAlignment="1">
      <alignment horizontal="center"/>
    </xf>
    <xf numFmtId="1" fontId="1" fillId="10" borderId="0" xfId="1" applyNumberFormat="1" applyFill="1" applyAlignment="1">
      <alignment horizontal="center"/>
    </xf>
    <xf numFmtId="2" fontId="1" fillId="0" borderId="0" xfId="1" applyNumberFormat="1" applyAlignment="1">
      <alignment horizontal="center"/>
    </xf>
    <xf numFmtId="0" fontId="1" fillId="10" borderId="0" xfId="1" applyFill="1" applyAlignment="1">
      <alignment horizontal="right"/>
    </xf>
    <xf numFmtId="164" fontId="1" fillId="10" borderId="0" xfId="1" applyNumberFormat="1" applyFill="1" applyAlignment="1">
      <alignment horizontal="center"/>
    </xf>
    <xf numFmtId="164" fontId="1" fillId="0" borderId="0" xfId="1" applyNumberFormat="1" applyAlignment="1">
      <alignment horizontal="center"/>
    </xf>
    <xf numFmtId="0" fontId="3" fillId="0" borderId="0" xfId="1" applyFont="1" applyAlignment="1">
      <alignment horizontal="right"/>
    </xf>
    <xf numFmtId="0" fontId="1" fillId="0" borderId="0" xfId="0" applyFont="1" applyAlignment="1">
      <alignment horizontal="left"/>
    </xf>
    <xf numFmtId="0" fontId="1" fillId="0" borderId="12" xfId="1" applyBorder="1" applyAlignment="1">
      <alignment horizontal="right"/>
    </xf>
    <xf numFmtId="0" fontId="1" fillId="0" borderId="0" xfId="1" applyBorder="1" applyAlignment="1">
      <alignment horizontal="right"/>
    </xf>
    <xf numFmtId="164" fontId="8" fillId="0" borderId="0" xfId="1" applyNumberFormat="1" applyFont="1" applyBorder="1" applyAlignment="1">
      <alignment horizontal="center"/>
    </xf>
    <xf numFmtId="0" fontId="1" fillId="0" borderId="15" xfId="1" applyBorder="1" applyAlignment="1">
      <alignment horizontal="center"/>
    </xf>
    <xf numFmtId="0" fontId="1" fillId="0" borderId="15" xfId="1" applyBorder="1"/>
    <xf numFmtId="0" fontId="1" fillId="0" borderId="7" xfId="1" applyBorder="1" applyAlignment="1">
      <alignment horizontal="right"/>
    </xf>
    <xf numFmtId="2" fontId="8" fillId="0" borderId="0" xfId="1" applyNumberFormat="1" applyFont="1" applyBorder="1" applyAlignment="1">
      <alignment horizontal="center"/>
    </xf>
    <xf numFmtId="0" fontId="1" fillId="0" borderId="12" xfId="1" applyBorder="1" applyAlignment="1">
      <alignment horizontal="center"/>
    </xf>
    <xf numFmtId="164" fontId="8" fillId="0" borderId="7" xfId="1" applyNumberFormat="1" applyFont="1" applyBorder="1" applyAlignment="1">
      <alignment horizontal="center"/>
    </xf>
    <xf numFmtId="0" fontId="1" fillId="0" borderId="4" xfId="1" applyBorder="1" applyAlignment="1">
      <alignment horizontal="right"/>
    </xf>
    <xf numFmtId="0" fontId="7" fillId="0" borderId="4" xfId="1" applyFont="1" applyBorder="1" applyAlignment="1">
      <alignment horizontal="center"/>
    </xf>
    <xf numFmtId="2" fontId="8" fillId="0" borderId="5" xfId="1" applyNumberFormat="1" applyFont="1" applyBorder="1" applyAlignment="1">
      <alignment horizontal="center"/>
    </xf>
    <xf numFmtId="0" fontId="1" fillId="0" borderId="23" xfId="1" applyBorder="1"/>
    <xf numFmtId="0" fontId="1" fillId="0" borderId="4" xfId="1" applyBorder="1" applyAlignment="1">
      <alignment horizontal="center"/>
    </xf>
    <xf numFmtId="0" fontId="1" fillId="0" borderId="12" xfId="1" applyBorder="1"/>
    <xf numFmtId="2" fontId="8" fillId="0" borderId="25" xfId="1" applyNumberFormat="1" applyFont="1" applyBorder="1" applyAlignment="1">
      <alignment horizontal="center"/>
    </xf>
    <xf numFmtId="0" fontId="1" fillId="0" borderId="4" xfId="1" applyBorder="1"/>
    <xf numFmtId="0" fontId="8" fillId="0" borderId="23" xfId="1" applyFont="1" applyBorder="1"/>
    <xf numFmtId="2" fontId="8" fillId="0" borderId="21" xfId="1" applyNumberFormat="1" applyFont="1" applyBorder="1" applyAlignment="1">
      <alignment horizontal="center"/>
    </xf>
    <xf numFmtId="2" fontId="8" fillId="0" borderId="27" xfId="1" applyNumberFormat="1" applyFont="1" applyBorder="1" applyAlignment="1">
      <alignment horizontal="center"/>
    </xf>
    <xf numFmtId="164" fontId="9" fillId="0" borderId="12" xfId="1" applyNumberFormat="1" applyFont="1" applyBorder="1" applyAlignment="1">
      <alignment horizontal="center"/>
    </xf>
    <xf numFmtId="2" fontId="9" fillId="0" borderId="27" xfId="1" applyNumberFormat="1" applyFont="1" applyBorder="1" applyAlignment="1">
      <alignment horizontal="center"/>
    </xf>
    <xf numFmtId="164" fontId="9" fillId="0" borderId="0" xfId="1" applyNumberFormat="1" applyFont="1" applyBorder="1" applyAlignment="1">
      <alignment horizontal="center"/>
    </xf>
    <xf numFmtId="2" fontId="9" fillId="0" borderId="25" xfId="1" applyNumberFormat="1" applyFont="1" applyBorder="1" applyAlignment="1">
      <alignment horizontal="center"/>
    </xf>
    <xf numFmtId="0" fontId="3" fillId="0" borderId="0" xfId="1" applyFont="1" applyBorder="1" applyAlignment="1">
      <alignment horizontal="right"/>
    </xf>
    <xf numFmtId="0" fontId="9" fillId="0" borderId="30" xfId="1" applyFont="1" applyBorder="1"/>
    <xf numFmtId="0" fontId="1" fillId="0" borderId="14" xfId="1" applyBorder="1"/>
    <xf numFmtId="0" fontId="1" fillId="0" borderId="7" xfId="1" applyBorder="1" applyAlignment="1">
      <alignment horizontal="center"/>
    </xf>
    <xf numFmtId="0" fontId="1" fillId="0" borderId="0" xfId="1" applyBorder="1" applyAlignment="1">
      <alignment horizontal="center"/>
    </xf>
    <xf numFmtId="2" fontId="8" fillId="0" borderId="7" xfId="1" applyNumberFormat="1" applyFont="1" applyBorder="1" applyAlignment="1">
      <alignment horizontal="center"/>
    </xf>
    <xf numFmtId="0" fontId="1" fillId="0" borderId="16" xfId="1" applyBorder="1" applyAlignment="1">
      <alignment horizontal="center"/>
    </xf>
    <xf numFmtId="0" fontId="1" fillId="0" borderId="20" xfId="1" applyBorder="1" applyAlignment="1">
      <alignment horizontal="center"/>
    </xf>
    <xf numFmtId="0" fontId="1" fillId="0" borderId="24" xfId="1" applyBorder="1" applyAlignment="1">
      <alignment horizontal="center"/>
    </xf>
    <xf numFmtId="0" fontId="1" fillId="0" borderId="26" xfId="1" applyBorder="1" applyAlignment="1">
      <alignment horizontal="center"/>
    </xf>
    <xf numFmtId="0" fontId="1" fillId="0" borderId="28" xfId="1" applyBorder="1" applyAlignment="1">
      <alignment horizontal="center"/>
    </xf>
    <xf numFmtId="0" fontId="1" fillId="0" borderId="29" xfId="1" applyBorder="1" applyAlignment="1">
      <alignment horizontal="center"/>
    </xf>
    <xf numFmtId="0" fontId="1" fillId="0" borderId="17" xfId="1" applyBorder="1"/>
    <xf numFmtId="0" fontId="1" fillId="0" borderId="18" xfId="1" applyBorder="1" applyAlignment="1">
      <alignment horizontal="center"/>
    </xf>
    <xf numFmtId="0" fontId="1" fillId="0" borderId="22" xfId="1" applyBorder="1" applyAlignment="1">
      <alignment horizontal="center"/>
    </xf>
    <xf numFmtId="0" fontId="1" fillId="0" borderId="5" xfId="1" applyBorder="1" applyAlignment="1">
      <alignment horizontal="center"/>
    </xf>
    <xf numFmtId="0" fontId="1" fillId="0" borderId="16" xfId="1" applyBorder="1"/>
    <xf numFmtId="0" fontId="1" fillId="0" borderId="20" xfId="1" applyBorder="1"/>
    <xf numFmtId="0" fontId="1" fillId="0" borderId="24" xfId="1" applyBorder="1"/>
    <xf numFmtId="0" fontId="1" fillId="0" borderId="26" xfId="1" applyBorder="1"/>
    <xf numFmtId="0" fontId="1" fillId="0" borderId="28" xfId="1" applyBorder="1"/>
    <xf numFmtId="0" fontId="1" fillId="0" borderId="17" xfId="1" applyBorder="1" applyAlignment="1">
      <alignment horizontal="center"/>
    </xf>
    <xf numFmtId="0" fontId="1" fillId="0" borderId="18" xfId="1" applyBorder="1"/>
    <xf numFmtId="0" fontId="8" fillId="0" borderId="25" xfId="1" applyFont="1" applyBorder="1"/>
    <xf numFmtId="0" fontId="1" fillId="11" borderId="0" xfId="1" applyFill="1"/>
    <xf numFmtId="0" fontId="1" fillId="11" borderId="0" xfId="1" applyFill="1" applyAlignment="1">
      <alignment horizontal="center"/>
    </xf>
    <xf numFmtId="0" fontId="1" fillId="11" borderId="0" xfId="1" applyFill="1" applyAlignment="1">
      <alignment horizontal="left"/>
    </xf>
    <xf numFmtId="0" fontId="5" fillId="12" borderId="0" xfId="1" applyFont="1" applyFill="1" applyAlignment="1">
      <alignment horizontal="center"/>
    </xf>
    <xf numFmtId="0" fontId="2" fillId="12" borderId="0" xfId="1" applyFont="1" applyFill="1" applyAlignment="1">
      <alignment horizontal="center"/>
    </xf>
    <xf numFmtId="0" fontId="6" fillId="12" borderId="0" xfId="1" applyFont="1" applyFill="1" applyAlignment="1">
      <alignment horizontal="center"/>
    </xf>
    <xf numFmtId="0" fontId="1" fillId="12" borderId="0" xfId="0" applyFont="1" applyFill="1" applyAlignment="1">
      <alignment horizontal="center" wrapText="1"/>
    </xf>
    <xf numFmtId="0" fontId="5" fillId="2" borderId="0" xfId="1" applyFont="1" applyFill="1" applyAlignment="1">
      <alignment horizontal="center"/>
    </xf>
    <xf numFmtId="0" fontId="10" fillId="12" borderId="0" xfId="1" applyFont="1" applyFill="1" applyAlignment="1">
      <alignment horizontal="center"/>
    </xf>
    <xf numFmtId="0" fontId="11" fillId="0" borderId="12" xfId="0" applyFont="1" applyBorder="1"/>
    <xf numFmtId="1" fontId="10" fillId="4" borderId="6" xfId="0" applyNumberFormat="1" applyFont="1" applyFill="1" applyBorder="1" applyAlignment="1">
      <alignment horizontal="center"/>
    </xf>
    <xf numFmtId="1" fontId="10" fillId="4" borderId="7" xfId="0" applyNumberFormat="1" applyFont="1" applyFill="1" applyBorder="1" applyAlignment="1">
      <alignment horizontal="center"/>
    </xf>
    <xf numFmtId="1" fontId="10" fillId="4" borderId="8" xfId="0" applyNumberFormat="1" applyFont="1" applyFill="1" applyBorder="1" applyAlignment="1">
      <alignment horizontal="center"/>
    </xf>
    <xf numFmtId="1" fontId="10" fillId="4" borderId="9" xfId="0" applyNumberFormat="1" applyFont="1" applyFill="1" applyBorder="1" applyAlignment="1">
      <alignment horizontal="center"/>
    </xf>
    <xf numFmtId="1" fontId="10" fillId="4" borderId="0" xfId="0" applyNumberFormat="1" applyFont="1" applyFill="1" applyBorder="1" applyAlignment="1">
      <alignment horizontal="center"/>
    </xf>
    <xf numFmtId="1" fontId="10" fillId="4" borderId="10" xfId="0" applyNumberFormat="1" applyFont="1" applyFill="1" applyBorder="1" applyAlignment="1">
      <alignment horizontal="center"/>
    </xf>
    <xf numFmtId="1" fontId="10" fillId="4" borderId="11" xfId="0" applyNumberFormat="1" applyFont="1" applyFill="1" applyBorder="1" applyAlignment="1">
      <alignment horizontal="center"/>
    </xf>
    <xf numFmtId="1" fontId="10" fillId="4" borderId="12" xfId="0" applyNumberFormat="1" applyFont="1" applyFill="1" applyBorder="1" applyAlignment="1">
      <alignment horizontal="center"/>
    </xf>
    <xf numFmtId="1" fontId="10" fillId="4" borderId="13" xfId="0" applyNumberFormat="1" applyFont="1" applyFill="1" applyBorder="1" applyAlignment="1">
      <alignment horizontal="center"/>
    </xf>
    <xf numFmtId="2" fontId="6" fillId="3" borderId="0" xfId="0" applyNumberFormat="1" applyFont="1" applyFill="1"/>
    <xf numFmtId="2" fontId="6" fillId="3" borderId="0" xfId="1" applyNumberFormat="1" applyFont="1" applyFill="1"/>
    <xf numFmtId="0" fontId="1" fillId="0" borderId="0" xfId="1" applyFont="1" applyAlignment="1">
      <alignment horizontal="left"/>
    </xf>
    <xf numFmtId="0" fontId="1" fillId="2" borderId="0" xfId="0" applyFont="1" applyFill="1" applyAlignment="1">
      <alignment horizontal="left"/>
    </xf>
    <xf numFmtId="0" fontId="11" fillId="0" borderId="12" xfId="1" applyFont="1" applyBorder="1"/>
    <xf numFmtId="0" fontId="3" fillId="0" borderId="7" xfId="1" applyFont="1" applyBorder="1" applyAlignment="1">
      <alignment horizontal="left"/>
    </xf>
    <xf numFmtId="0" fontId="1" fillId="0" borderId="0" xfId="1" applyFont="1" applyBorder="1" applyAlignment="1">
      <alignment horizontal="left"/>
    </xf>
    <xf numFmtId="0" fontId="3" fillId="0" borderId="0" xfId="1" applyFont="1" applyBorder="1" applyAlignment="1">
      <alignment horizontal="left"/>
    </xf>
    <xf numFmtId="0" fontId="1" fillId="0" borderId="0" xfId="1" applyFont="1" applyAlignment="1">
      <alignment horizontal="right"/>
    </xf>
    <xf numFmtId="0" fontId="1" fillId="3" borderId="0" xfId="1" applyFill="1"/>
    <xf numFmtId="0" fontId="1" fillId="12" borderId="0" xfId="1" applyFill="1"/>
    <xf numFmtId="0" fontId="1" fillId="4" borderId="0" xfId="1" applyFill="1"/>
    <xf numFmtId="0" fontId="1" fillId="5" borderId="0" xfId="1" applyFill="1"/>
    <xf numFmtId="0" fontId="1" fillId="6" borderId="0" xfId="1" applyFill="1"/>
    <xf numFmtId="0" fontId="1" fillId="8" borderId="0" xfId="1" applyFill="1"/>
    <xf numFmtId="0" fontId="1" fillId="9" borderId="0" xfId="1" applyFill="1"/>
    <xf numFmtId="0" fontId="1" fillId="7" borderId="0" xfId="1" applyFill="1"/>
    <xf numFmtId="0" fontId="1" fillId="0" borderId="1" xfId="1" applyBorder="1" applyAlignment="1">
      <alignment horizontal="center"/>
    </xf>
    <xf numFmtId="0" fontId="3" fillId="0" borderId="0" xfId="1" applyFont="1"/>
    <xf numFmtId="0" fontId="3" fillId="0" borderId="0" xfId="1" applyFont="1" applyAlignment="1">
      <alignment horizontal="center"/>
    </xf>
    <xf numFmtId="0" fontId="3" fillId="0" borderId="0" xfId="1" applyFont="1" applyAlignment="1">
      <alignment horizontal="left"/>
    </xf>
    <xf numFmtId="0" fontId="1" fillId="0" borderId="0" xfId="1" applyFill="1"/>
    <xf numFmtId="0" fontId="1" fillId="0" borderId="15" xfId="1" applyFont="1" applyBorder="1" applyAlignment="1">
      <alignment horizontal="right"/>
    </xf>
    <xf numFmtId="0" fontId="7" fillId="0" borderId="2" xfId="1" applyFont="1" applyBorder="1" applyAlignment="1">
      <alignment horizontal="left"/>
    </xf>
    <xf numFmtId="0" fontId="3" fillId="0" borderId="0" xfId="1" applyFont="1" applyFill="1"/>
    <xf numFmtId="0" fontId="1" fillId="0" borderId="9" xfId="1" applyBorder="1" applyAlignment="1">
      <alignment horizontal="center"/>
    </xf>
    <xf numFmtId="0" fontId="1" fillId="0" borderId="10" xfId="1" applyBorder="1" applyAlignment="1">
      <alignment horizontal="center"/>
    </xf>
    <xf numFmtId="0" fontId="1" fillId="13" borderId="0" xfId="1" applyFill="1" applyAlignment="1">
      <alignment horizontal="right"/>
    </xf>
    <xf numFmtId="0" fontId="1" fillId="13" borderId="0" xfId="1" applyFill="1"/>
    <xf numFmtId="0" fontId="1" fillId="12" borderId="0" xfId="1" applyFont="1" applyFill="1" applyAlignment="1">
      <alignment horizontal="center" wrapText="1"/>
    </xf>
    <xf numFmtId="0" fontId="15" fillId="0" borderId="0" xfId="1" applyFont="1" applyAlignment="1">
      <alignment horizontal="right"/>
    </xf>
    <xf numFmtId="1" fontId="1" fillId="14" borderId="0" xfId="1" applyNumberFormat="1" applyFill="1" applyAlignment="1">
      <alignment horizontal="center"/>
    </xf>
    <xf numFmtId="164" fontId="1" fillId="5" borderId="6" xfId="1" applyNumberFormat="1" applyFill="1" applyBorder="1" applyAlignment="1">
      <alignment horizontal="center"/>
    </xf>
    <xf numFmtId="164" fontId="1" fillId="5" borderId="7" xfId="1" applyNumberFormat="1" applyFill="1" applyBorder="1" applyAlignment="1">
      <alignment horizontal="center"/>
    </xf>
    <xf numFmtId="164" fontId="1" fillId="5" borderId="8" xfId="1" applyNumberFormat="1" applyFill="1" applyBorder="1" applyAlignment="1">
      <alignment horizontal="center"/>
    </xf>
    <xf numFmtId="164" fontId="1" fillId="5" borderId="9" xfId="1" applyNumberFormat="1" applyFill="1" applyBorder="1" applyAlignment="1">
      <alignment horizontal="center"/>
    </xf>
    <xf numFmtId="164" fontId="1" fillId="5" borderId="0" xfId="1" applyNumberFormat="1" applyFill="1" applyBorder="1" applyAlignment="1">
      <alignment horizontal="center"/>
    </xf>
    <xf numFmtId="164" fontId="1" fillId="5" borderId="10" xfId="1" applyNumberFormat="1" applyFill="1" applyBorder="1" applyAlignment="1">
      <alignment horizontal="center"/>
    </xf>
    <xf numFmtId="164" fontId="1" fillId="5" borderId="11" xfId="1" applyNumberFormat="1" applyFill="1" applyBorder="1" applyAlignment="1">
      <alignment horizontal="center"/>
    </xf>
    <xf numFmtId="164" fontId="1" fillId="5" borderId="12" xfId="1" applyNumberFormat="1" applyFill="1" applyBorder="1" applyAlignment="1">
      <alignment horizontal="center"/>
    </xf>
    <xf numFmtId="164" fontId="1" fillId="5" borderId="13" xfId="1" applyNumberFormat="1" applyFill="1" applyBorder="1" applyAlignment="1">
      <alignment horizontal="center"/>
    </xf>
    <xf numFmtId="2" fontId="1" fillId="13" borderId="0" xfId="1" applyNumberFormat="1" applyFill="1" applyAlignment="1">
      <alignment horizontal="center"/>
    </xf>
    <xf numFmtId="2" fontId="1" fillId="14" borderId="0" xfId="1" applyNumberFormat="1" applyFill="1" applyAlignment="1">
      <alignment horizontal="center"/>
    </xf>
    <xf numFmtId="0" fontId="1" fillId="8" borderId="1" xfId="1" applyFont="1" applyFill="1" applyBorder="1" applyAlignment="1">
      <alignment horizontal="center"/>
    </xf>
    <xf numFmtId="164" fontId="1" fillId="8" borderId="1" xfId="1" applyNumberFormat="1" applyFill="1" applyBorder="1" applyAlignment="1">
      <alignment horizontal="center"/>
    </xf>
    <xf numFmtId="0" fontId="1" fillId="9" borderId="1" xfId="1" applyFont="1" applyFill="1" applyBorder="1" applyAlignment="1">
      <alignment horizontal="center"/>
    </xf>
    <xf numFmtId="164" fontId="1" fillId="9" borderId="2" xfId="1" applyNumberFormat="1" applyFill="1" applyBorder="1" applyAlignment="1">
      <alignment horizontal="center"/>
    </xf>
    <xf numFmtId="0" fontId="1" fillId="9" borderId="1" xfId="1" applyFont="1" applyFill="1" applyBorder="1" applyAlignment="1">
      <alignment horizontal="right"/>
    </xf>
    <xf numFmtId="164" fontId="1" fillId="9" borderId="3" xfId="1" applyNumberFormat="1" applyFill="1" applyBorder="1" applyAlignment="1">
      <alignment horizontal="center"/>
    </xf>
    <xf numFmtId="164" fontId="1" fillId="9" borderId="1" xfId="1" applyNumberFormat="1" applyFill="1" applyBorder="1" applyAlignment="1">
      <alignment horizontal="center"/>
    </xf>
    <xf numFmtId="0" fontId="3" fillId="0" borderId="16" xfId="1" applyFont="1" applyBorder="1"/>
    <xf numFmtId="0" fontId="1" fillId="0" borderId="4" xfId="1" applyFont="1" applyBorder="1" applyAlignment="1">
      <alignment horizontal="right"/>
    </xf>
    <xf numFmtId="164" fontId="1" fillId="0" borderId="4" xfId="1" applyNumberFormat="1" applyBorder="1" applyAlignment="1">
      <alignment horizontal="center"/>
    </xf>
    <xf numFmtId="0" fontId="4" fillId="0" borderId="17" xfId="1" applyFont="1" applyBorder="1" applyAlignment="1">
      <alignment horizontal="left"/>
    </xf>
    <xf numFmtId="0" fontId="3" fillId="0" borderId="16" xfId="1" applyFont="1" applyBorder="1" applyAlignment="1">
      <alignment horizontal="right"/>
    </xf>
    <xf numFmtId="0" fontId="4" fillId="0" borderId="17" xfId="1" applyFont="1" applyBorder="1" applyAlignment="1">
      <alignment horizontal="center"/>
    </xf>
    <xf numFmtId="0" fontId="1" fillId="0" borderId="7" xfId="1" applyFont="1" applyBorder="1" applyAlignment="1">
      <alignment horizontal="right"/>
    </xf>
    <xf numFmtId="0" fontId="8" fillId="0" borderId="7" xfId="1" applyFont="1" applyBorder="1" applyAlignment="1">
      <alignment horizontal="center"/>
    </xf>
    <xf numFmtId="0" fontId="1" fillId="0" borderId="0" xfId="1" applyFont="1" applyBorder="1" applyAlignment="1">
      <alignment horizontal="right"/>
    </xf>
    <xf numFmtId="0" fontId="9" fillId="0" borderId="12" xfId="1" applyFont="1" applyBorder="1" applyAlignment="1">
      <alignment horizontal="center"/>
    </xf>
    <xf numFmtId="0" fontId="1" fillId="0" borderId="12" xfId="1" applyFont="1" applyBorder="1" applyAlignment="1">
      <alignment horizontal="right"/>
    </xf>
    <xf numFmtId="2" fontId="8" fillId="0" borderId="12" xfId="1" applyNumberFormat="1" applyFont="1" applyBorder="1" applyAlignment="1">
      <alignment horizontal="center"/>
    </xf>
    <xf numFmtId="0" fontId="1" fillId="0" borderId="29" xfId="1" applyFont="1" applyBorder="1" applyAlignment="1">
      <alignment horizontal="right"/>
    </xf>
    <xf numFmtId="2" fontId="9" fillId="0" borderId="29" xfId="1" applyNumberFormat="1" applyFont="1" applyBorder="1" applyAlignment="1">
      <alignment horizontal="center"/>
    </xf>
    <xf numFmtId="0" fontId="1" fillId="0" borderId="4" xfId="1" applyFont="1" applyBorder="1" applyAlignment="1">
      <alignment horizontal="left"/>
    </xf>
    <xf numFmtId="0" fontId="4" fillId="0" borderId="19" xfId="1" applyFont="1" applyBorder="1" applyAlignment="1">
      <alignment horizontal="center"/>
    </xf>
    <xf numFmtId="0" fontId="8" fillId="0" borderId="0" xfId="1" applyFont="1" applyBorder="1" applyAlignment="1">
      <alignment horizontal="center"/>
    </xf>
    <xf numFmtId="0" fontId="1" fillId="0" borderId="5" xfId="1" applyFont="1" applyBorder="1" applyAlignment="1">
      <alignment horizontal="right"/>
    </xf>
    <xf numFmtId="0" fontId="1" fillId="0" borderId="0" xfId="1" applyFont="1" applyAlignment="1">
      <alignment horizontal="center"/>
    </xf>
    <xf numFmtId="1" fontId="1" fillId="0" borderId="0" xfId="1" applyNumberFormat="1" applyFill="1" applyAlignment="1">
      <alignment horizontal="center"/>
    </xf>
    <xf numFmtId="0" fontId="1" fillId="0" borderId="0" xfId="1" applyFont="1" applyFill="1" applyAlignment="1">
      <alignment horizontal="right"/>
    </xf>
    <xf numFmtId="164" fontId="1" fillId="0" borderId="0" xfId="1" applyNumberFormat="1" applyFont="1" applyAlignment="1">
      <alignment horizontal="center"/>
    </xf>
    <xf numFmtId="164" fontId="1" fillId="0" borderId="0" xfId="1" applyNumberFormat="1" applyFill="1" applyAlignment="1">
      <alignment horizontal="center"/>
    </xf>
    <xf numFmtId="2" fontId="1" fillId="0" borderId="0" xfId="1" applyNumberFormat="1" applyFill="1" applyAlignment="1">
      <alignment horizontal="center"/>
    </xf>
    <xf numFmtId="164" fontId="10" fillId="12" borderId="0" xfId="1" applyNumberFormat="1" applyFont="1" applyFill="1" applyAlignment="1">
      <alignment horizontal="center"/>
    </xf>
    <xf numFmtId="0" fontId="1" fillId="13" borderId="0" xfId="1" applyFont="1" applyFill="1" applyAlignment="1">
      <alignment horizontal="right"/>
    </xf>
    <xf numFmtId="0" fontId="1" fillId="5" borderId="0" xfId="1" applyFill="1" applyAlignment="1">
      <alignment horizontal="center" wrapText="1"/>
    </xf>
    <xf numFmtId="2" fontId="1" fillId="9" borderId="1" xfId="1" applyNumberFormat="1" applyFill="1" applyBorder="1" applyAlignment="1">
      <alignment horizontal="center"/>
    </xf>
    <xf numFmtId="0" fontId="1" fillId="0" borderId="31" xfId="1" applyBorder="1" applyAlignment="1">
      <alignment horizontal="center"/>
    </xf>
    <xf numFmtId="0" fontId="8" fillId="0" borderId="25" xfId="1" applyFont="1" applyBorder="1" applyAlignment="1">
      <alignment horizontal="center"/>
    </xf>
    <xf numFmtId="0" fontId="9" fillId="0" borderId="0" xfId="1" applyFont="1" applyBorder="1" applyAlignment="1">
      <alignment horizontal="center"/>
    </xf>
    <xf numFmtId="164" fontId="8" fillId="0" borderId="12" xfId="1" applyNumberFormat="1" applyFont="1" applyBorder="1" applyAlignment="1">
      <alignment horizontal="center"/>
    </xf>
    <xf numFmtId="164" fontId="8" fillId="0" borderId="12" xfId="1" applyNumberFormat="1" applyFont="1" applyBorder="1" applyAlignment="1">
      <alignment horizontal="left"/>
    </xf>
    <xf numFmtId="2" fontId="9" fillId="0" borderId="0" xfId="1" applyNumberFormat="1" applyFont="1" applyBorder="1" applyAlignment="1">
      <alignment horizontal="center"/>
    </xf>
    <xf numFmtId="0" fontId="1" fillId="0" borderId="22" xfId="1" applyBorder="1"/>
    <xf numFmtId="0" fontId="9" fillId="0" borderId="23" xfId="1" applyFont="1" applyBorder="1"/>
    <xf numFmtId="0" fontId="1" fillId="9" borderId="4" xfId="1" applyFont="1" applyFill="1" applyBorder="1" applyAlignment="1">
      <alignment horizontal="center"/>
    </xf>
    <xf numFmtId="0" fontId="1" fillId="9" borderId="17" xfId="1" applyFill="1" applyBorder="1" applyAlignment="1">
      <alignment horizontal="center"/>
    </xf>
    <xf numFmtId="0" fontId="8" fillId="0" borderId="12" xfId="1" applyFont="1" applyBorder="1" applyAlignment="1">
      <alignment horizontal="center"/>
    </xf>
    <xf numFmtId="0" fontId="1" fillId="0" borderId="25" xfId="1" applyBorder="1"/>
    <xf numFmtId="0" fontId="1" fillId="0" borderId="5" xfId="1" applyFont="1" applyFill="1" applyBorder="1" applyAlignment="1">
      <alignment horizontal="right"/>
    </xf>
    <xf numFmtId="164" fontId="8" fillId="0" borderId="5" xfId="1" applyNumberFormat="1" applyFont="1" applyBorder="1" applyAlignment="1">
      <alignment horizontal="left"/>
    </xf>
    <xf numFmtId="2" fontId="9" fillId="0" borderId="5" xfId="1" applyNumberFormat="1" applyFont="1" applyBorder="1" applyAlignment="1">
      <alignment horizontal="center"/>
    </xf>
    <xf numFmtId="0" fontId="4" fillId="0" borderId="27" xfId="1" applyFont="1" applyBorder="1" applyAlignment="1">
      <alignment horizontal="center"/>
    </xf>
  </cellXfs>
  <cellStyles count="2">
    <cellStyle name="Normal" xfId="0" builtinId="0"/>
    <cellStyle name="Normal 2" xfId="1"/>
  </cellStyles>
  <dxfs count="0"/>
  <tableStyles count="0" defaultTableStyle="TableStyleMedium2" defaultPivotStyle="PivotStyleLight16"/>
  <colors>
    <mruColors>
      <color rgb="FFC0C0C0"/>
      <color rgb="FF0000FF"/>
      <color rgb="FF800080"/>
      <color rgb="FF969696"/>
      <color rgb="FFFFFF99"/>
      <color rgb="FFCC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138"/>
  <sheetViews>
    <sheetView tabSelected="1" zoomScale="85" zoomScaleNormal="85" workbookViewId="0"/>
  </sheetViews>
  <sheetFormatPr defaultRowHeight="13.2" x14ac:dyDescent="0.25"/>
  <cols>
    <col min="1" max="1" width="2.5546875" style="13" customWidth="1"/>
    <col min="2" max="2" width="19.6640625" style="13" customWidth="1"/>
    <col min="3" max="4" width="7.6640625" style="13" customWidth="1"/>
    <col min="5" max="6" width="7.6640625" style="14" customWidth="1"/>
    <col min="7" max="14" width="8" style="14" customWidth="1"/>
    <col min="15" max="17" width="6.6640625" style="14" customWidth="1"/>
    <col min="18" max="18" width="7.33203125" style="14" customWidth="1"/>
    <col min="19" max="19" width="5.6640625" style="14" customWidth="1"/>
    <col min="20" max="20" width="9.109375" style="14" customWidth="1"/>
    <col min="21" max="21" width="6.6640625" style="14" customWidth="1"/>
    <col min="22" max="24" width="7.5546875" style="14" customWidth="1"/>
    <col min="25" max="25" width="6.6640625" style="14" customWidth="1"/>
    <col min="26" max="35" width="8.88671875" style="13"/>
    <col min="36" max="36" width="6.109375" style="13" customWidth="1"/>
    <col min="37" max="256" width="8.88671875" style="13"/>
    <col min="257" max="257" width="2.5546875" style="13" customWidth="1"/>
    <col min="258" max="258" width="19.6640625" style="13" customWidth="1"/>
    <col min="259" max="262" width="7.6640625" style="13" customWidth="1"/>
    <col min="263" max="270" width="8" style="13" customWidth="1"/>
    <col min="271" max="273" width="6.6640625" style="13" customWidth="1"/>
    <col min="274" max="274" width="7.33203125" style="13" customWidth="1"/>
    <col min="275" max="275" width="5.6640625" style="13" customWidth="1"/>
    <col min="276" max="276" width="9.109375" style="13" customWidth="1"/>
    <col min="277" max="277" width="6.6640625" style="13" customWidth="1"/>
    <col min="278" max="280" width="7.5546875" style="13" customWidth="1"/>
    <col min="281" max="281" width="6.6640625" style="13" customWidth="1"/>
    <col min="282" max="291" width="8.88671875" style="13"/>
    <col min="292" max="292" width="6.109375" style="13" customWidth="1"/>
    <col min="293" max="512" width="8.88671875" style="13"/>
    <col min="513" max="513" width="2.5546875" style="13" customWidth="1"/>
    <col min="514" max="514" width="19.6640625" style="13" customWidth="1"/>
    <col min="515" max="518" width="7.6640625" style="13" customWidth="1"/>
    <col min="519" max="526" width="8" style="13" customWidth="1"/>
    <col min="527" max="529" width="6.6640625" style="13" customWidth="1"/>
    <col min="530" max="530" width="7.33203125" style="13" customWidth="1"/>
    <col min="531" max="531" width="5.6640625" style="13" customWidth="1"/>
    <col min="532" max="532" width="9.109375" style="13" customWidth="1"/>
    <col min="533" max="533" width="6.6640625" style="13" customWidth="1"/>
    <col min="534" max="536" width="7.5546875" style="13" customWidth="1"/>
    <col min="537" max="537" width="6.6640625" style="13" customWidth="1"/>
    <col min="538" max="547" width="8.88671875" style="13"/>
    <col min="548" max="548" width="6.109375" style="13" customWidth="1"/>
    <col min="549" max="768" width="8.88671875" style="13"/>
    <col min="769" max="769" width="2.5546875" style="13" customWidth="1"/>
    <col min="770" max="770" width="19.6640625" style="13" customWidth="1"/>
    <col min="771" max="774" width="7.6640625" style="13" customWidth="1"/>
    <col min="775" max="782" width="8" style="13" customWidth="1"/>
    <col min="783" max="785" width="6.6640625" style="13" customWidth="1"/>
    <col min="786" max="786" width="7.33203125" style="13" customWidth="1"/>
    <col min="787" max="787" width="5.6640625" style="13" customWidth="1"/>
    <col min="788" max="788" width="9.109375" style="13" customWidth="1"/>
    <col min="789" max="789" width="6.6640625" style="13" customWidth="1"/>
    <col min="790" max="792" width="7.5546875" style="13" customWidth="1"/>
    <col min="793" max="793" width="6.6640625" style="13" customWidth="1"/>
    <col min="794" max="803" width="8.88671875" style="13"/>
    <col min="804" max="804" width="6.109375" style="13" customWidth="1"/>
    <col min="805" max="1024" width="8.88671875" style="13"/>
    <col min="1025" max="1025" width="2.5546875" style="13" customWidth="1"/>
    <col min="1026" max="1026" width="19.6640625" style="13" customWidth="1"/>
    <col min="1027" max="1030" width="7.6640625" style="13" customWidth="1"/>
    <col min="1031" max="1038" width="8" style="13" customWidth="1"/>
    <col min="1039" max="1041" width="6.6640625" style="13" customWidth="1"/>
    <col min="1042" max="1042" width="7.33203125" style="13" customWidth="1"/>
    <col min="1043" max="1043" width="5.6640625" style="13" customWidth="1"/>
    <col min="1044" max="1044" width="9.109375" style="13" customWidth="1"/>
    <col min="1045" max="1045" width="6.6640625" style="13" customWidth="1"/>
    <col min="1046" max="1048" width="7.5546875" style="13" customWidth="1"/>
    <col min="1049" max="1049" width="6.6640625" style="13" customWidth="1"/>
    <col min="1050" max="1059" width="8.88671875" style="13"/>
    <col min="1060" max="1060" width="6.109375" style="13" customWidth="1"/>
    <col min="1061" max="1280" width="8.88671875" style="13"/>
    <col min="1281" max="1281" width="2.5546875" style="13" customWidth="1"/>
    <col min="1282" max="1282" width="19.6640625" style="13" customWidth="1"/>
    <col min="1283" max="1286" width="7.6640625" style="13" customWidth="1"/>
    <col min="1287" max="1294" width="8" style="13" customWidth="1"/>
    <col min="1295" max="1297" width="6.6640625" style="13" customWidth="1"/>
    <col min="1298" max="1298" width="7.33203125" style="13" customWidth="1"/>
    <col min="1299" max="1299" width="5.6640625" style="13" customWidth="1"/>
    <col min="1300" max="1300" width="9.109375" style="13" customWidth="1"/>
    <col min="1301" max="1301" width="6.6640625" style="13" customWidth="1"/>
    <col min="1302" max="1304" width="7.5546875" style="13" customWidth="1"/>
    <col min="1305" max="1305" width="6.6640625" style="13" customWidth="1"/>
    <col min="1306" max="1315" width="8.88671875" style="13"/>
    <col min="1316" max="1316" width="6.109375" style="13" customWidth="1"/>
    <col min="1317" max="1536" width="8.88671875" style="13"/>
    <col min="1537" max="1537" width="2.5546875" style="13" customWidth="1"/>
    <col min="1538" max="1538" width="19.6640625" style="13" customWidth="1"/>
    <col min="1539" max="1542" width="7.6640625" style="13" customWidth="1"/>
    <col min="1543" max="1550" width="8" style="13" customWidth="1"/>
    <col min="1551" max="1553" width="6.6640625" style="13" customWidth="1"/>
    <col min="1554" max="1554" width="7.33203125" style="13" customWidth="1"/>
    <col min="1555" max="1555" width="5.6640625" style="13" customWidth="1"/>
    <col min="1556" max="1556" width="9.109375" style="13" customWidth="1"/>
    <col min="1557" max="1557" width="6.6640625" style="13" customWidth="1"/>
    <col min="1558" max="1560" width="7.5546875" style="13" customWidth="1"/>
    <col min="1561" max="1561" width="6.6640625" style="13" customWidth="1"/>
    <col min="1562" max="1571" width="8.88671875" style="13"/>
    <col min="1572" max="1572" width="6.109375" style="13" customWidth="1"/>
    <col min="1573" max="1792" width="8.88671875" style="13"/>
    <col min="1793" max="1793" width="2.5546875" style="13" customWidth="1"/>
    <col min="1794" max="1794" width="19.6640625" style="13" customWidth="1"/>
    <col min="1795" max="1798" width="7.6640625" style="13" customWidth="1"/>
    <col min="1799" max="1806" width="8" style="13" customWidth="1"/>
    <col min="1807" max="1809" width="6.6640625" style="13" customWidth="1"/>
    <col min="1810" max="1810" width="7.33203125" style="13" customWidth="1"/>
    <col min="1811" max="1811" width="5.6640625" style="13" customWidth="1"/>
    <col min="1812" max="1812" width="9.109375" style="13" customWidth="1"/>
    <col min="1813" max="1813" width="6.6640625" style="13" customWidth="1"/>
    <col min="1814" max="1816" width="7.5546875" style="13" customWidth="1"/>
    <col min="1817" max="1817" width="6.6640625" style="13" customWidth="1"/>
    <col min="1818" max="1827" width="8.88671875" style="13"/>
    <col min="1828" max="1828" width="6.109375" style="13" customWidth="1"/>
    <col min="1829" max="2048" width="8.88671875" style="13"/>
    <col min="2049" max="2049" width="2.5546875" style="13" customWidth="1"/>
    <col min="2050" max="2050" width="19.6640625" style="13" customWidth="1"/>
    <col min="2051" max="2054" width="7.6640625" style="13" customWidth="1"/>
    <col min="2055" max="2062" width="8" style="13" customWidth="1"/>
    <col min="2063" max="2065" width="6.6640625" style="13" customWidth="1"/>
    <col min="2066" max="2066" width="7.33203125" style="13" customWidth="1"/>
    <col min="2067" max="2067" width="5.6640625" style="13" customWidth="1"/>
    <col min="2068" max="2068" width="9.109375" style="13" customWidth="1"/>
    <col min="2069" max="2069" width="6.6640625" style="13" customWidth="1"/>
    <col min="2070" max="2072" width="7.5546875" style="13" customWidth="1"/>
    <col min="2073" max="2073" width="6.6640625" style="13" customWidth="1"/>
    <col min="2074" max="2083" width="8.88671875" style="13"/>
    <col min="2084" max="2084" width="6.109375" style="13" customWidth="1"/>
    <col min="2085" max="2304" width="8.88671875" style="13"/>
    <col min="2305" max="2305" width="2.5546875" style="13" customWidth="1"/>
    <col min="2306" max="2306" width="19.6640625" style="13" customWidth="1"/>
    <col min="2307" max="2310" width="7.6640625" style="13" customWidth="1"/>
    <col min="2311" max="2318" width="8" style="13" customWidth="1"/>
    <col min="2319" max="2321" width="6.6640625" style="13" customWidth="1"/>
    <col min="2322" max="2322" width="7.33203125" style="13" customWidth="1"/>
    <col min="2323" max="2323" width="5.6640625" style="13" customWidth="1"/>
    <col min="2324" max="2324" width="9.109375" style="13" customWidth="1"/>
    <col min="2325" max="2325" width="6.6640625" style="13" customWidth="1"/>
    <col min="2326" max="2328" width="7.5546875" style="13" customWidth="1"/>
    <col min="2329" max="2329" width="6.6640625" style="13" customWidth="1"/>
    <col min="2330" max="2339" width="8.88671875" style="13"/>
    <col min="2340" max="2340" width="6.109375" style="13" customWidth="1"/>
    <col min="2341" max="2560" width="8.88671875" style="13"/>
    <col min="2561" max="2561" width="2.5546875" style="13" customWidth="1"/>
    <col min="2562" max="2562" width="19.6640625" style="13" customWidth="1"/>
    <col min="2563" max="2566" width="7.6640625" style="13" customWidth="1"/>
    <col min="2567" max="2574" width="8" style="13" customWidth="1"/>
    <col min="2575" max="2577" width="6.6640625" style="13" customWidth="1"/>
    <col min="2578" max="2578" width="7.33203125" style="13" customWidth="1"/>
    <col min="2579" max="2579" width="5.6640625" style="13" customWidth="1"/>
    <col min="2580" max="2580" width="9.109375" style="13" customWidth="1"/>
    <col min="2581" max="2581" width="6.6640625" style="13" customWidth="1"/>
    <col min="2582" max="2584" width="7.5546875" style="13" customWidth="1"/>
    <col min="2585" max="2585" width="6.6640625" style="13" customWidth="1"/>
    <col min="2586" max="2595" width="8.88671875" style="13"/>
    <col min="2596" max="2596" width="6.109375" style="13" customWidth="1"/>
    <col min="2597" max="2816" width="8.88671875" style="13"/>
    <col min="2817" max="2817" width="2.5546875" style="13" customWidth="1"/>
    <col min="2818" max="2818" width="19.6640625" style="13" customWidth="1"/>
    <col min="2819" max="2822" width="7.6640625" style="13" customWidth="1"/>
    <col min="2823" max="2830" width="8" style="13" customWidth="1"/>
    <col min="2831" max="2833" width="6.6640625" style="13" customWidth="1"/>
    <col min="2834" max="2834" width="7.33203125" style="13" customWidth="1"/>
    <col min="2835" max="2835" width="5.6640625" style="13" customWidth="1"/>
    <col min="2836" max="2836" width="9.109375" style="13" customWidth="1"/>
    <col min="2837" max="2837" width="6.6640625" style="13" customWidth="1"/>
    <col min="2838" max="2840" width="7.5546875" style="13" customWidth="1"/>
    <col min="2841" max="2841" width="6.6640625" style="13" customWidth="1"/>
    <col min="2842" max="2851" width="8.88671875" style="13"/>
    <col min="2852" max="2852" width="6.109375" style="13" customWidth="1"/>
    <col min="2853" max="3072" width="8.88671875" style="13"/>
    <col min="3073" max="3073" width="2.5546875" style="13" customWidth="1"/>
    <col min="3074" max="3074" width="19.6640625" style="13" customWidth="1"/>
    <col min="3075" max="3078" width="7.6640625" style="13" customWidth="1"/>
    <col min="3079" max="3086" width="8" style="13" customWidth="1"/>
    <col min="3087" max="3089" width="6.6640625" style="13" customWidth="1"/>
    <col min="3090" max="3090" width="7.33203125" style="13" customWidth="1"/>
    <col min="3091" max="3091" width="5.6640625" style="13" customWidth="1"/>
    <col min="3092" max="3092" width="9.109375" style="13" customWidth="1"/>
    <col min="3093" max="3093" width="6.6640625" style="13" customWidth="1"/>
    <col min="3094" max="3096" width="7.5546875" style="13" customWidth="1"/>
    <col min="3097" max="3097" width="6.6640625" style="13" customWidth="1"/>
    <col min="3098" max="3107" width="8.88671875" style="13"/>
    <col min="3108" max="3108" width="6.109375" style="13" customWidth="1"/>
    <col min="3109" max="3328" width="8.88671875" style="13"/>
    <col min="3329" max="3329" width="2.5546875" style="13" customWidth="1"/>
    <col min="3330" max="3330" width="19.6640625" style="13" customWidth="1"/>
    <col min="3331" max="3334" width="7.6640625" style="13" customWidth="1"/>
    <col min="3335" max="3342" width="8" style="13" customWidth="1"/>
    <col min="3343" max="3345" width="6.6640625" style="13" customWidth="1"/>
    <col min="3346" max="3346" width="7.33203125" style="13" customWidth="1"/>
    <col min="3347" max="3347" width="5.6640625" style="13" customWidth="1"/>
    <col min="3348" max="3348" width="9.109375" style="13" customWidth="1"/>
    <col min="3349" max="3349" width="6.6640625" style="13" customWidth="1"/>
    <col min="3350" max="3352" width="7.5546875" style="13" customWidth="1"/>
    <col min="3353" max="3353" width="6.6640625" style="13" customWidth="1"/>
    <col min="3354" max="3363" width="8.88671875" style="13"/>
    <col min="3364" max="3364" width="6.109375" style="13" customWidth="1"/>
    <col min="3365" max="3584" width="8.88671875" style="13"/>
    <col min="3585" max="3585" width="2.5546875" style="13" customWidth="1"/>
    <col min="3586" max="3586" width="19.6640625" style="13" customWidth="1"/>
    <col min="3587" max="3590" width="7.6640625" style="13" customWidth="1"/>
    <col min="3591" max="3598" width="8" style="13" customWidth="1"/>
    <col min="3599" max="3601" width="6.6640625" style="13" customWidth="1"/>
    <col min="3602" max="3602" width="7.33203125" style="13" customWidth="1"/>
    <col min="3603" max="3603" width="5.6640625" style="13" customWidth="1"/>
    <col min="3604" max="3604" width="9.109375" style="13" customWidth="1"/>
    <col min="3605" max="3605" width="6.6640625" style="13" customWidth="1"/>
    <col min="3606" max="3608" width="7.5546875" style="13" customWidth="1"/>
    <col min="3609" max="3609" width="6.6640625" style="13" customWidth="1"/>
    <col min="3610" max="3619" width="8.88671875" style="13"/>
    <col min="3620" max="3620" width="6.109375" style="13" customWidth="1"/>
    <col min="3621" max="3840" width="8.88671875" style="13"/>
    <col min="3841" max="3841" width="2.5546875" style="13" customWidth="1"/>
    <col min="3842" max="3842" width="19.6640625" style="13" customWidth="1"/>
    <col min="3843" max="3846" width="7.6640625" style="13" customWidth="1"/>
    <col min="3847" max="3854" width="8" style="13" customWidth="1"/>
    <col min="3855" max="3857" width="6.6640625" style="13" customWidth="1"/>
    <col min="3858" max="3858" width="7.33203125" style="13" customWidth="1"/>
    <col min="3859" max="3859" width="5.6640625" style="13" customWidth="1"/>
    <col min="3860" max="3860" width="9.109375" style="13" customWidth="1"/>
    <col min="3861" max="3861" width="6.6640625" style="13" customWidth="1"/>
    <col min="3862" max="3864" width="7.5546875" style="13" customWidth="1"/>
    <col min="3865" max="3865" width="6.6640625" style="13" customWidth="1"/>
    <col min="3866" max="3875" width="8.88671875" style="13"/>
    <col min="3876" max="3876" width="6.109375" style="13" customWidth="1"/>
    <col min="3877" max="4096" width="8.88671875" style="13"/>
    <col min="4097" max="4097" width="2.5546875" style="13" customWidth="1"/>
    <col min="4098" max="4098" width="19.6640625" style="13" customWidth="1"/>
    <col min="4099" max="4102" width="7.6640625" style="13" customWidth="1"/>
    <col min="4103" max="4110" width="8" style="13" customWidth="1"/>
    <col min="4111" max="4113" width="6.6640625" style="13" customWidth="1"/>
    <col min="4114" max="4114" width="7.33203125" style="13" customWidth="1"/>
    <col min="4115" max="4115" width="5.6640625" style="13" customWidth="1"/>
    <col min="4116" max="4116" width="9.109375" style="13" customWidth="1"/>
    <col min="4117" max="4117" width="6.6640625" style="13" customWidth="1"/>
    <col min="4118" max="4120" width="7.5546875" style="13" customWidth="1"/>
    <col min="4121" max="4121" width="6.6640625" style="13" customWidth="1"/>
    <col min="4122" max="4131" width="8.88671875" style="13"/>
    <col min="4132" max="4132" width="6.109375" style="13" customWidth="1"/>
    <col min="4133" max="4352" width="8.88671875" style="13"/>
    <col min="4353" max="4353" width="2.5546875" style="13" customWidth="1"/>
    <col min="4354" max="4354" width="19.6640625" style="13" customWidth="1"/>
    <col min="4355" max="4358" width="7.6640625" style="13" customWidth="1"/>
    <col min="4359" max="4366" width="8" style="13" customWidth="1"/>
    <col min="4367" max="4369" width="6.6640625" style="13" customWidth="1"/>
    <col min="4370" max="4370" width="7.33203125" style="13" customWidth="1"/>
    <col min="4371" max="4371" width="5.6640625" style="13" customWidth="1"/>
    <col min="4372" max="4372" width="9.109375" style="13" customWidth="1"/>
    <col min="4373" max="4373" width="6.6640625" style="13" customWidth="1"/>
    <col min="4374" max="4376" width="7.5546875" style="13" customWidth="1"/>
    <col min="4377" max="4377" width="6.6640625" style="13" customWidth="1"/>
    <col min="4378" max="4387" width="8.88671875" style="13"/>
    <col min="4388" max="4388" width="6.109375" style="13" customWidth="1"/>
    <col min="4389" max="4608" width="8.88671875" style="13"/>
    <col min="4609" max="4609" width="2.5546875" style="13" customWidth="1"/>
    <col min="4610" max="4610" width="19.6640625" style="13" customWidth="1"/>
    <col min="4611" max="4614" width="7.6640625" style="13" customWidth="1"/>
    <col min="4615" max="4622" width="8" style="13" customWidth="1"/>
    <col min="4623" max="4625" width="6.6640625" style="13" customWidth="1"/>
    <col min="4626" max="4626" width="7.33203125" style="13" customWidth="1"/>
    <col min="4627" max="4627" width="5.6640625" style="13" customWidth="1"/>
    <col min="4628" max="4628" width="9.109375" style="13" customWidth="1"/>
    <col min="4629" max="4629" width="6.6640625" style="13" customWidth="1"/>
    <col min="4630" max="4632" width="7.5546875" style="13" customWidth="1"/>
    <col min="4633" max="4633" width="6.6640625" style="13" customWidth="1"/>
    <col min="4634" max="4643" width="8.88671875" style="13"/>
    <col min="4644" max="4644" width="6.109375" style="13" customWidth="1"/>
    <col min="4645" max="4864" width="8.88671875" style="13"/>
    <col min="4865" max="4865" width="2.5546875" style="13" customWidth="1"/>
    <col min="4866" max="4866" width="19.6640625" style="13" customWidth="1"/>
    <col min="4867" max="4870" width="7.6640625" style="13" customWidth="1"/>
    <col min="4871" max="4878" width="8" style="13" customWidth="1"/>
    <col min="4879" max="4881" width="6.6640625" style="13" customWidth="1"/>
    <col min="4882" max="4882" width="7.33203125" style="13" customWidth="1"/>
    <col min="4883" max="4883" width="5.6640625" style="13" customWidth="1"/>
    <col min="4884" max="4884" width="9.109375" style="13" customWidth="1"/>
    <col min="4885" max="4885" width="6.6640625" style="13" customWidth="1"/>
    <col min="4886" max="4888" width="7.5546875" style="13" customWidth="1"/>
    <col min="4889" max="4889" width="6.6640625" style="13" customWidth="1"/>
    <col min="4890" max="4899" width="8.88671875" style="13"/>
    <col min="4900" max="4900" width="6.109375" style="13" customWidth="1"/>
    <col min="4901" max="5120" width="8.88671875" style="13"/>
    <col min="5121" max="5121" width="2.5546875" style="13" customWidth="1"/>
    <col min="5122" max="5122" width="19.6640625" style="13" customWidth="1"/>
    <col min="5123" max="5126" width="7.6640625" style="13" customWidth="1"/>
    <col min="5127" max="5134" width="8" style="13" customWidth="1"/>
    <col min="5135" max="5137" width="6.6640625" style="13" customWidth="1"/>
    <col min="5138" max="5138" width="7.33203125" style="13" customWidth="1"/>
    <col min="5139" max="5139" width="5.6640625" style="13" customWidth="1"/>
    <col min="5140" max="5140" width="9.109375" style="13" customWidth="1"/>
    <col min="5141" max="5141" width="6.6640625" style="13" customWidth="1"/>
    <col min="5142" max="5144" width="7.5546875" style="13" customWidth="1"/>
    <col min="5145" max="5145" width="6.6640625" style="13" customWidth="1"/>
    <col min="5146" max="5155" width="8.88671875" style="13"/>
    <col min="5156" max="5156" width="6.109375" style="13" customWidth="1"/>
    <col min="5157" max="5376" width="8.88671875" style="13"/>
    <col min="5377" max="5377" width="2.5546875" style="13" customWidth="1"/>
    <col min="5378" max="5378" width="19.6640625" style="13" customWidth="1"/>
    <col min="5379" max="5382" width="7.6640625" style="13" customWidth="1"/>
    <col min="5383" max="5390" width="8" style="13" customWidth="1"/>
    <col min="5391" max="5393" width="6.6640625" style="13" customWidth="1"/>
    <col min="5394" max="5394" width="7.33203125" style="13" customWidth="1"/>
    <col min="5395" max="5395" width="5.6640625" style="13" customWidth="1"/>
    <col min="5396" max="5396" width="9.109375" style="13" customWidth="1"/>
    <col min="5397" max="5397" width="6.6640625" style="13" customWidth="1"/>
    <col min="5398" max="5400" width="7.5546875" style="13" customWidth="1"/>
    <col min="5401" max="5401" width="6.6640625" style="13" customWidth="1"/>
    <col min="5402" max="5411" width="8.88671875" style="13"/>
    <col min="5412" max="5412" width="6.109375" style="13" customWidth="1"/>
    <col min="5413" max="5632" width="8.88671875" style="13"/>
    <col min="5633" max="5633" width="2.5546875" style="13" customWidth="1"/>
    <col min="5634" max="5634" width="19.6640625" style="13" customWidth="1"/>
    <col min="5635" max="5638" width="7.6640625" style="13" customWidth="1"/>
    <col min="5639" max="5646" width="8" style="13" customWidth="1"/>
    <col min="5647" max="5649" width="6.6640625" style="13" customWidth="1"/>
    <col min="5650" max="5650" width="7.33203125" style="13" customWidth="1"/>
    <col min="5651" max="5651" width="5.6640625" style="13" customWidth="1"/>
    <col min="5652" max="5652" width="9.109375" style="13" customWidth="1"/>
    <col min="5653" max="5653" width="6.6640625" style="13" customWidth="1"/>
    <col min="5654" max="5656" width="7.5546875" style="13" customWidth="1"/>
    <col min="5657" max="5657" width="6.6640625" style="13" customWidth="1"/>
    <col min="5658" max="5667" width="8.88671875" style="13"/>
    <col min="5668" max="5668" width="6.109375" style="13" customWidth="1"/>
    <col min="5669" max="5888" width="8.88671875" style="13"/>
    <col min="5889" max="5889" width="2.5546875" style="13" customWidth="1"/>
    <col min="5890" max="5890" width="19.6640625" style="13" customWidth="1"/>
    <col min="5891" max="5894" width="7.6640625" style="13" customWidth="1"/>
    <col min="5895" max="5902" width="8" style="13" customWidth="1"/>
    <col min="5903" max="5905" width="6.6640625" style="13" customWidth="1"/>
    <col min="5906" max="5906" width="7.33203125" style="13" customWidth="1"/>
    <col min="5907" max="5907" width="5.6640625" style="13" customWidth="1"/>
    <col min="5908" max="5908" width="9.109375" style="13" customWidth="1"/>
    <col min="5909" max="5909" width="6.6640625" style="13" customWidth="1"/>
    <col min="5910" max="5912" width="7.5546875" style="13" customWidth="1"/>
    <col min="5913" max="5913" width="6.6640625" style="13" customWidth="1"/>
    <col min="5914" max="5923" width="8.88671875" style="13"/>
    <col min="5924" max="5924" width="6.109375" style="13" customWidth="1"/>
    <col min="5925" max="6144" width="8.88671875" style="13"/>
    <col min="6145" max="6145" width="2.5546875" style="13" customWidth="1"/>
    <col min="6146" max="6146" width="19.6640625" style="13" customWidth="1"/>
    <col min="6147" max="6150" width="7.6640625" style="13" customWidth="1"/>
    <col min="6151" max="6158" width="8" style="13" customWidth="1"/>
    <col min="6159" max="6161" width="6.6640625" style="13" customWidth="1"/>
    <col min="6162" max="6162" width="7.33203125" style="13" customWidth="1"/>
    <col min="6163" max="6163" width="5.6640625" style="13" customWidth="1"/>
    <col min="6164" max="6164" width="9.109375" style="13" customWidth="1"/>
    <col min="6165" max="6165" width="6.6640625" style="13" customWidth="1"/>
    <col min="6166" max="6168" width="7.5546875" style="13" customWidth="1"/>
    <col min="6169" max="6169" width="6.6640625" style="13" customWidth="1"/>
    <col min="6170" max="6179" width="8.88671875" style="13"/>
    <col min="6180" max="6180" width="6.109375" style="13" customWidth="1"/>
    <col min="6181" max="6400" width="8.88671875" style="13"/>
    <col min="6401" max="6401" width="2.5546875" style="13" customWidth="1"/>
    <col min="6402" max="6402" width="19.6640625" style="13" customWidth="1"/>
    <col min="6403" max="6406" width="7.6640625" style="13" customWidth="1"/>
    <col min="6407" max="6414" width="8" style="13" customWidth="1"/>
    <col min="6415" max="6417" width="6.6640625" style="13" customWidth="1"/>
    <col min="6418" max="6418" width="7.33203125" style="13" customWidth="1"/>
    <col min="6419" max="6419" width="5.6640625" style="13" customWidth="1"/>
    <col min="6420" max="6420" width="9.109375" style="13" customWidth="1"/>
    <col min="6421" max="6421" width="6.6640625" style="13" customWidth="1"/>
    <col min="6422" max="6424" width="7.5546875" style="13" customWidth="1"/>
    <col min="6425" max="6425" width="6.6640625" style="13" customWidth="1"/>
    <col min="6426" max="6435" width="8.88671875" style="13"/>
    <col min="6436" max="6436" width="6.109375" style="13" customWidth="1"/>
    <col min="6437" max="6656" width="8.88671875" style="13"/>
    <col min="6657" max="6657" width="2.5546875" style="13" customWidth="1"/>
    <col min="6658" max="6658" width="19.6640625" style="13" customWidth="1"/>
    <col min="6659" max="6662" width="7.6640625" style="13" customWidth="1"/>
    <col min="6663" max="6670" width="8" style="13" customWidth="1"/>
    <col min="6671" max="6673" width="6.6640625" style="13" customWidth="1"/>
    <col min="6674" max="6674" width="7.33203125" style="13" customWidth="1"/>
    <col min="6675" max="6675" width="5.6640625" style="13" customWidth="1"/>
    <col min="6676" max="6676" width="9.109375" style="13" customWidth="1"/>
    <col min="6677" max="6677" width="6.6640625" style="13" customWidth="1"/>
    <col min="6678" max="6680" width="7.5546875" style="13" customWidth="1"/>
    <col min="6681" max="6681" width="6.6640625" style="13" customWidth="1"/>
    <col min="6682" max="6691" width="8.88671875" style="13"/>
    <col min="6692" max="6692" width="6.109375" style="13" customWidth="1"/>
    <col min="6693" max="6912" width="8.88671875" style="13"/>
    <col min="6913" max="6913" width="2.5546875" style="13" customWidth="1"/>
    <col min="6914" max="6914" width="19.6640625" style="13" customWidth="1"/>
    <col min="6915" max="6918" width="7.6640625" style="13" customWidth="1"/>
    <col min="6919" max="6926" width="8" style="13" customWidth="1"/>
    <col min="6927" max="6929" width="6.6640625" style="13" customWidth="1"/>
    <col min="6930" max="6930" width="7.33203125" style="13" customWidth="1"/>
    <col min="6931" max="6931" width="5.6640625" style="13" customWidth="1"/>
    <col min="6932" max="6932" width="9.109375" style="13" customWidth="1"/>
    <col min="6933" max="6933" width="6.6640625" style="13" customWidth="1"/>
    <col min="6934" max="6936" width="7.5546875" style="13" customWidth="1"/>
    <col min="6937" max="6937" width="6.6640625" style="13" customWidth="1"/>
    <col min="6938" max="6947" width="8.88671875" style="13"/>
    <col min="6948" max="6948" width="6.109375" style="13" customWidth="1"/>
    <col min="6949" max="7168" width="8.88671875" style="13"/>
    <col min="7169" max="7169" width="2.5546875" style="13" customWidth="1"/>
    <col min="7170" max="7170" width="19.6640625" style="13" customWidth="1"/>
    <col min="7171" max="7174" width="7.6640625" style="13" customWidth="1"/>
    <col min="7175" max="7182" width="8" style="13" customWidth="1"/>
    <col min="7183" max="7185" width="6.6640625" style="13" customWidth="1"/>
    <col min="7186" max="7186" width="7.33203125" style="13" customWidth="1"/>
    <col min="7187" max="7187" width="5.6640625" style="13" customWidth="1"/>
    <col min="7188" max="7188" width="9.109375" style="13" customWidth="1"/>
    <col min="7189" max="7189" width="6.6640625" style="13" customWidth="1"/>
    <col min="7190" max="7192" width="7.5546875" style="13" customWidth="1"/>
    <col min="7193" max="7193" width="6.6640625" style="13" customWidth="1"/>
    <col min="7194" max="7203" width="8.88671875" style="13"/>
    <col min="7204" max="7204" width="6.109375" style="13" customWidth="1"/>
    <col min="7205" max="7424" width="8.88671875" style="13"/>
    <col min="7425" max="7425" width="2.5546875" style="13" customWidth="1"/>
    <col min="7426" max="7426" width="19.6640625" style="13" customWidth="1"/>
    <col min="7427" max="7430" width="7.6640625" style="13" customWidth="1"/>
    <col min="7431" max="7438" width="8" style="13" customWidth="1"/>
    <col min="7439" max="7441" width="6.6640625" style="13" customWidth="1"/>
    <col min="7442" max="7442" width="7.33203125" style="13" customWidth="1"/>
    <col min="7443" max="7443" width="5.6640625" style="13" customWidth="1"/>
    <col min="7444" max="7444" width="9.109375" style="13" customWidth="1"/>
    <col min="7445" max="7445" width="6.6640625" style="13" customWidth="1"/>
    <col min="7446" max="7448" width="7.5546875" style="13" customWidth="1"/>
    <col min="7449" max="7449" width="6.6640625" style="13" customWidth="1"/>
    <col min="7450" max="7459" width="8.88671875" style="13"/>
    <col min="7460" max="7460" width="6.109375" style="13" customWidth="1"/>
    <col min="7461" max="7680" width="8.88671875" style="13"/>
    <col min="7681" max="7681" width="2.5546875" style="13" customWidth="1"/>
    <col min="7682" max="7682" width="19.6640625" style="13" customWidth="1"/>
    <col min="7683" max="7686" width="7.6640625" style="13" customWidth="1"/>
    <col min="7687" max="7694" width="8" style="13" customWidth="1"/>
    <col min="7695" max="7697" width="6.6640625" style="13" customWidth="1"/>
    <col min="7698" max="7698" width="7.33203125" style="13" customWidth="1"/>
    <col min="7699" max="7699" width="5.6640625" style="13" customWidth="1"/>
    <col min="7700" max="7700" width="9.109375" style="13" customWidth="1"/>
    <col min="7701" max="7701" width="6.6640625" style="13" customWidth="1"/>
    <col min="7702" max="7704" width="7.5546875" style="13" customWidth="1"/>
    <col min="7705" max="7705" width="6.6640625" style="13" customWidth="1"/>
    <col min="7706" max="7715" width="8.88671875" style="13"/>
    <col min="7716" max="7716" width="6.109375" style="13" customWidth="1"/>
    <col min="7717" max="7936" width="8.88671875" style="13"/>
    <col min="7937" max="7937" width="2.5546875" style="13" customWidth="1"/>
    <col min="7938" max="7938" width="19.6640625" style="13" customWidth="1"/>
    <col min="7939" max="7942" width="7.6640625" style="13" customWidth="1"/>
    <col min="7943" max="7950" width="8" style="13" customWidth="1"/>
    <col min="7951" max="7953" width="6.6640625" style="13" customWidth="1"/>
    <col min="7954" max="7954" width="7.33203125" style="13" customWidth="1"/>
    <col min="7955" max="7955" width="5.6640625" style="13" customWidth="1"/>
    <col min="7956" max="7956" width="9.109375" style="13" customWidth="1"/>
    <col min="7957" max="7957" width="6.6640625" style="13" customWidth="1"/>
    <col min="7958" max="7960" width="7.5546875" style="13" customWidth="1"/>
    <col min="7961" max="7961" width="6.6640625" style="13" customWidth="1"/>
    <col min="7962" max="7971" width="8.88671875" style="13"/>
    <col min="7972" max="7972" width="6.109375" style="13" customWidth="1"/>
    <col min="7973" max="8192" width="8.88671875" style="13"/>
    <col min="8193" max="8193" width="2.5546875" style="13" customWidth="1"/>
    <col min="8194" max="8194" width="19.6640625" style="13" customWidth="1"/>
    <col min="8195" max="8198" width="7.6640625" style="13" customWidth="1"/>
    <col min="8199" max="8206" width="8" style="13" customWidth="1"/>
    <col min="8207" max="8209" width="6.6640625" style="13" customWidth="1"/>
    <col min="8210" max="8210" width="7.33203125" style="13" customWidth="1"/>
    <col min="8211" max="8211" width="5.6640625" style="13" customWidth="1"/>
    <col min="8212" max="8212" width="9.109375" style="13" customWidth="1"/>
    <col min="8213" max="8213" width="6.6640625" style="13" customWidth="1"/>
    <col min="8214" max="8216" width="7.5546875" style="13" customWidth="1"/>
    <col min="8217" max="8217" width="6.6640625" style="13" customWidth="1"/>
    <col min="8218" max="8227" width="8.88671875" style="13"/>
    <col min="8228" max="8228" width="6.109375" style="13" customWidth="1"/>
    <col min="8229" max="8448" width="8.88671875" style="13"/>
    <col min="8449" max="8449" width="2.5546875" style="13" customWidth="1"/>
    <col min="8450" max="8450" width="19.6640625" style="13" customWidth="1"/>
    <col min="8451" max="8454" width="7.6640625" style="13" customWidth="1"/>
    <col min="8455" max="8462" width="8" style="13" customWidth="1"/>
    <col min="8463" max="8465" width="6.6640625" style="13" customWidth="1"/>
    <col min="8466" max="8466" width="7.33203125" style="13" customWidth="1"/>
    <col min="8467" max="8467" width="5.6640625" style="13" customWidth="1"/>
    <col min="8468" max="8468" width="9.109375" style="13" customWidth="1"/>
    <col min="8469" max="8469" width="6.6640625" style="13" customWidth="1"/>
    <col min="8470" max="8472" width="7.5546875" style="13" customWidth="1"/>
    <col min="8473" max="8473" width="6.6640625" style="13" customWidth="1"/>
    <col min="8474" max="8483" width="8.88671875" style="13"/>
    <col min="8484" max="8484" width="6.109375" style="13" customWidth="1"/>
    <col min="8485" max="8704" width="8.88671875" style="13"/>
    <col min="8705" max="8705" width="2.5546875" style="13" customWidth="1"/>
    <col min="8706" max="8706" width="19.6640625" style="13" customWidth="1"/>
    <col min="8707" max="8710" width="7.6640625" style="13" customWidth="1"/>
    <col min="8711" max="8718" width="8" style="13" customWidth="1"/>
    <col min="8719" max="8721" width="6.6640625" style="13" customWidth="1"/>
    <col min="8722" max="8722" width="7.33203125" style="13" customWidth="1"/>
    <col min="8723" max="8723" width="5.6640625" style="13" customWidth="1"/>
    <col min="8724" max="8724" width="9.109375" style="13" customWidth="1"/>
    <col min="8725" max="8725" width="6.6640625" style="13" customWidth="1"/>
    <col min="8726" max="8728" width="7.5546875" style="13" customWidth="1"/>
    <col min="8729" max="8729" width="6.6640625" style="13" customWidth="1"/>
    <col min="8730" max="8739" width="8.88671875" style="13"/>
    <col min="8740" max="8740" width="6.109375" style="13" customWidth="1"/>
    <col min="8741" max="8960" width="8.88671875" style="13"/>
    <col min="8961" max="8961" width="2.5546875" style="13" customWidth="1"/>
    <col min="8962" max="8962" width="19.6640625" style="13" customWidth="1"/>
    <col min="8963" max="8966" width="7.6640625" style="13" customWidth="1"/>
    <col min="8967" max="8974" width="8" style="13" customWidth="1"/>
    <col min="8975" max="8977" width="6.6640625" style="13" customWidth="1"/>
    <col min="8978" max="8978" width="7.33203125" style="13" customWidth="1"/>
    <col min="8979" max="8979" width="5.6640625" style="13" customWidth="1"/>
    <col min="8980" max="8980" width="9.109375" style="13" customWidth="1"/>
    <col min="8981" max="8981" width="6.6640625" style="13" customWidth="1"/>
    <col min="8982" max="8984" width="7.5546875" style="13" customWidth="1"/>
    <col min="8985" max="8985" width="6.6640625" style="13" customWidth="1"/>
    <col min="8986" max="8995" width="8.88671875" style="13"/>
    <col min="8996" max="8996" width="6.109375" style="13" customWidth="1"/>
    <col min="8997" max="9216" width="8.88671875" style="13"/>
    <col min="9217" max="9217" width="2.5546875" style="13" customWidth="1"/>
    <col min="9218" max="9218" width="19.6640625" style="13" customWidth="1"/>
    <col min="9219" max="9222" width="7.6640625" style="13" customWidth="1"/>
    <col min="9223" max="9230" width="8" style="13" customWidth="1"/>
    <col min="9231" max="9233" width="6.6640625" style="13" customWidth="1"/>
    <col min="9234" max="9234" width="7.33203125" style="13" customWidth="1"/>
    <col min="9235" max="9235" width="5.6640625" style="13" customWidth="1"/>
    <col min="9236" max="9236" width="9.109375" style="13" customWidth="1"/>
    <col min="9237" max="9237" width="6.6640625" style="13" customWidth="1"/>
    <col min="9238" max="9240" width="7.5546875" style="13" customWidth="1"/>
    <col min="9241" max="9241" width="6.6640625" style="13" customWidth="1"/>
    <col min="9242" max="9251" width="8.88671875" style="13"/>
    <col min="9252" max="9252" width="6.109375" style="13" customWidth="1"/>
    <col min="9253" max="9472" width="8.88671875" style="13"/>
    <col min="9473" max="9473" width="2.5546875" style="13" customWidth="1"/>
    <col min="9474" max="9474" width="19.6640625" style="13" customWidth="1"/>
    <col min="9475" max="9478" width="7.6640625" style="13" customWidth="1"/>
    <col min="9479" max="9486" width="8" style="13" customWidth="1"/>
    <col min="9487" max="9489" width="6.6640625" style="13" customWidth="1"/>
    <col min="9490" max="9490" width="7.33203125" style="13" customWidth="1"/>
    <col min="9491" max="9491" width="5.6640625" style="13" customWidth="1"/>
    <col min="9492" max="9492" width="9.109375" style="13" customWidth="1"/>
    <col min="9493" max="9493" width="6.6640625" style="13" customWidth="1"/>
    <col min="9494" max="9496" width="7.5546875" style="13" customWidth="1"/>
    <col min="9497" max="9497" width="6.6640625" style="13" customWidth="1"/>
    <col min="9498" max="9507" width="8.88671875" style="13"/>
    <col min="9508" max="9508" width="6.109375" style="13" customWidth="1"/>
    <col min="9509" max="9728" width="8.88671875" style="13"/>
    <col min="9729" max="9729" width="2.5546875" style="13" customWidth="1"/>
    <col min="9730" max="9730" width="19.6640625" style="13" customWidth="1"/>
    <col min="9731" max="9734" width="7.6640625" style="13" customWidth="1"/>
    <col min="9735" max="9742" width="8" style="13" customWidth="1"/>
    <col min="9743" max="9745" width="6.6640625" style="13" customWidth="1"/>
    <col min="9746" max="9746" width="7.33203125" style="13" customWidth="1"/>
    <col min="9747" max="9747" width="5.6640625" style="13" customWidth="1"/>
    <col min="9748" max="9748" width="9.109375" style="13" customWidth="1"/>
    <col min="9749" max="9749" width="6.6640625" style="13" customWidth="1"/>
    <col min="9750" max="9752" width="7.5546875" style="13" customWidth="1"/>
    <col min="9753" max="9753" width="6.6640625" style="13" customWidth="1"/>
    <col min="9754" max="9763" width="8.88671875" style="13"/>
    <col min="9764" max="9764" width="6.109375" style="13" customWidth="1"/>
    <col min="9765" max="9984" width="8.88671875" style="13"/>
    <col min="9985" max="9985" width="2.5546875" style="13" customWidth="1"/>
    <col min="9986" max="9986" width="19.6640625" style="13" customWidth="1"/>
    <col min="9987" max="9990" width="7.6640625" style="13" customWidth="1"/>
    <col min="9991" max="9998" width="8" style="13" customWidth="1"/>
    <col min="9999" max="10001" width="6.6640625" style="13" customWidth="1"/>
    <col min="10002" max="10002" width="7.33203125" style="13" customWidth="1"/>
    <col min="10003" max="10003" width="5.6640625" style="13" customWidth="1"/>
    <col min="10004" max="10004" width="9.109375" style="13" customWidth="1"/>
    <col min="10005" max="10005" width="6.6640625" style="13" customWidth="1"/>
    <col min="10006" max="10008" width="7.5546875" style="13" customWidth="1"/>
    <col min="10009" max="10009" width="6.6640625" style="13" customWidth="1"/>
    <col min="10010" max="10019" width="8.88671875" style="13"/>
    <col min="10020" max="10020" width="6.109375" style="13" customWidth="1"/>
    <col min="10021" max="10240" width="8.88671875" style="13"/>
    <col min="10241" max="10241" width="2.5546875" style="13" customWidth="1"/>
    <col min="10242" max="10242" width="19.6640625" style="13" customWidth="1"/>
    <col min="10243" max="10246" width="7.6640625" style="13" customWidth="1"/>
    <col min="10247" max="10254" width="8" style="13" customWidth="1"/>
    <col min="10255" max="10257" width="6.6640625" style="13" customWidth="1"/>
    <col min="10258" max="10258" width="7.33203125" style="13" customWidth="1"/>
    <col min="10259" max="10259" width="5.6640625" style="13" customWidth="1"/>
    <col min="10260" max="10260" width="9.109375" style="13" customWidth="1"/>
    <col min="10261" max="10261" width="6.6640625" style="13" customWidth="1"/>
    <col min="10262" max="10264" width="7.5546875" style="13" customWidth="1"/>
    <col min="10265" max="10265" width="6.6640625" style="13" customWidth="1"/>
    <col min="10266" max="10275" width="8.88671875" style="13"/>
    <col min="10276" max="10276" width="6.109375" style="13" customWidth="1"/>
    <col min="10277" max="10496" width="8.88671875" style="13"/>
    <col min="10497" max="10497" width="2.5546875" style="13" customWidth="1"/>
    <col min="10498" max="10498" width="19.6640625" style="13" customWidth="1"/>
    <col min="10499" max="10502" width="7.6640625" style="13" customWidth="1"/>
    <col min="10503" max="10510" width="8" style="13" customWidth="1"/>
    <col min="10511" max="10513" width="6.6640625" style="13" customWidth="1"/>
    <col min="10514" max="10514" width="7.33203125" style="13" customWidth="1"/>
    <col min="10515" max="10515" width="5.6640625" style="13" customWidth="1"/>
    <col min="10516" max="10516" width="9.109375" style="13" customWidth="1"/>
    <col min="10517" max="10517" width="6.6640625" style="13" customWidth="1"/>
    <col min="10518" max="10520" width="7.5546875" style="13" customWidth="1"/>
    <col min="10521" max="10521" width="6.6640625" style="13" customWidth="1"/>
    <col min="10522" max="10531" width="8.88671875" style="13"/>
    <col min="10532" max="10532" width="6.109375" style="13" customWidth="1"/>
    <col min="10533" max="10752" width="8.88671875" style="13"/>
    <col min="10753" max="10753" width="2.5546875" style="13" customWidth="1"/>
    <col min="10754" max="10754" width="19.6640625" style="13" customWidth="1"/>
    <col min="10755" max="10758" width="7.6640625" style="13" customWidth="1"/>
    <col min="10759" max="10766" width="8" style="13" customWidth="1"/>
    <col min="10767" max="10769" width="6.6640625" style="13" customWidth="1"/>
    <col min="10770" max="10770" width="7.33203125" style="13" customWidth="1"/>
    <col min="10771" max="10771" width="5.6640625" style="13" customWidth="1"/>
    <col min="10772" max="10772" width="9.109375" style="13" customWidth="1"/>
    <col min="10773" max="10773" width="6.6640625" style="13" customWidth="1"/>
    <col min="10774" max="10776" width="7.5546875" style="13" customWidth="1"/>
    <col min="10777" max="10777" width="6.6640625" style="13" customWidth="1"/>
    <col min="10778" max="10787" width="8.88671875" style="13"/>
    <col min="10788" max="10788" width="6.109375" style="13" customWidth="1"/>
    <col min="10789" max="11008" width="8.88671875" style="13"/>
    <col min="11009" max="11009" width="2.5546875" style="13" customWidth="1"/>
    <col min="11010" max="11010" width="19.6640625" style="13" customWidth="1"/>
    <col min="11011" max="11014" width="7.6640625" style="13" customWidth="1"/>
    <col min="11015" max="11022" width="8" style="13" customWidth="1"/>
    <col min="11023" max="11025" width="6.6640625" style="13" customWidth="1"/>
    <col min="11026" max="11026" width="7.33203125" style="13" customWidth="1"/>
    <col min="11027" max="11027" width="5.6640625" style="13" customWidth="1"/>
    <col min="11028" max="11028" width="9.109375" style="13" customWidth="1"/>
    <col min="11029" max="11029" width="6.6640625" style="13" customWidth="1"/>
    <col min="11030" max="11032" width="7.5546875" style="13" customWidth="1"/>
    <col min="11033" max="11033" width="6.6640625" style="13" customWidth="1"/>
    <col min="11034" max="11043" width="8.88671875" style="13"/>
    <col min="11044" max="11044" width="6.109375" style="13" customWidth="1"/>
    <col min="11045" max="11264" width="8.88671875" style="13"/>
    <col min="11265" max="11265" width="2.5546875" style="13" customWidth="1"/>
    <col min="11266" max="11266" width="19.6640625" style="13" customWidth="1"/>
    <col min="11267" max="11270" width="7.6640625" style="13" customWidth="1"/>
    <col min="11271" max="11278" width="8" style="13" customWidth="1"/>
    <col min="11279" max="11281" width="6.6640625" style="13" customWidth="1"/>
    <col min="11282" max="11282" width="7.33203125" style="13" customWidth="1"/>
    <col min="11283" max="11283" width="5.6640625" style="13" customWidth="1"/>
    <col min="11284" max="11284" width="9.109375" style="13" customWidth="1"/>
    <col min="11285" max="11285" width="6.6640625" style="13" customWidth="1"/>
    <col min="11286" max="11288" width="7.5546875" style="13" customWidth="1"/>
    <col min="11289" max="11289" width="6.6640625" style="13" customWidth="1"/>
    <col min="11290" max="11299" width="8.88671875" style="13"/>
    <col min="11300" max="11300" width="6.109375" style="13" customWidth="1"/>
    <col min="11301" max="11520" width="8.88671875" style="13"/>
    <col min="11521" max="11521" width="2.5546875" style="13" customWidth="1"/>
    <col min="11522" max="11522" width="19.6640625" style="13" customWidth="1"/>
    <col min="11523" max="11526" width="7.6640625" style="13" customWidth="1"/>
    <col min="11527" max="11534" width="8" style="13" customWidth="1"/>
    <col min="11535" max="11537" width="6.6640625" style="13" customWidth="1"/>
    <col min="11538" max="11538" width="7.33203125" style="13" customWidth="1"/>
    <col min="11539" max="11539" width="5.6640625" style="13" customWidth="1"/>
    <col min="11540" max="11540" width="9.109375" style="13" customWidth="1"/>
    <col min="11541" max="11541" width="6.6640625" style="13" customWidth="1"/>
    <col min="11542" max="11544" width="7.5546875" style="13" customWidth="1"/>
    <col min="11545" max="11545" width="6.6640625" style="13" customWidth="1"/>
    <col min="11546" max="11555" width="8.88671875" style="13"/>
    <col min="11556" max="11556" width="6.109375" style="13" customWidth="1"/>
    <col min="11557" max="11776" width="8.88671875" style="13"/>
    <col min="11777" max="11777" width="2.5546875" style="13" customWidth="1"/>
    <col min="11778" max="11778" width="19.6640625" style="13" customWidth="1"/>
    <col min="11779" max="11782" width="7.6640625" style="13" customWidth="1"/>
    <col min="11783" max="11790" width="8" style="13" customWidth="1"/>
    <col min="11791" max="11793" width="6.6640625" style="13" customWidth="1"/>
    <col min="11794" max="11794" width="7.33203125" style="13" customWidth="1"/>
    <col min="11795" max="11795" width="5.6640625" style="13" customWidth="1"/>
    <col min="11796" max="11796" width="9.109375" style="13" customWidth="1"/>
    <col min="11797" max="11797" width="6.6640625" style="13" customWidth="1"/>
    <col min="11798" max="11800" width="7.5546875" style="13" customWidth="1"/>
    <col min="11801" max="11801" width="6.6640625" style="13" customWidth="1"/>
    <col min="11802" max="11811" width="8.88671875" style="13"/>
    <col min="11812" max="11812" width="6.109375" style="13" customWidth="1"/>
    <col min="11813" max="12032" width="8.88671875" style="13"/>
    <col min="12033" max="12033" width="2.5546875" style="13" customWidth="1"/>
    <col min="12034" max="12034" width="19.6640625" style="13" customWidth="1"/>
    <col min="12035" max="12038" width="7.6640625" style="13" customWidth="1"/>
    <col min="12039" max="12046" width="8" style="13" customWidth="1"/>
    <col min="12047" max="12049" width="6.6640625" style="13" customWidth="1"/>
    <col min="12050" max="12050" width="7.33203125" style="13" customWidth="1"/>
    <col min="12051" max="12051" width="5.6640625" style="13" customWidth="1"/>
    <col min="12052" max="12052" width="9.109375" style="13" customWidth="1"/>
    <col min="12053" max="12053" width="6.6640625" style="13" customWidth="1"/>
    <col min="12054" max="12056" width="7.5546875" style="13" customWidth="1"/>
    <col min="12057" max="12057" width="6.6640625" style="13" customWidth="1"/>
    <col min="12058" max="12067" width="8.88671875" style="13"/>
    <col min="12068" max="12068" width="6.109375" style="13" customWidth="1"/>
    <col min="12069" max="12288" width="8.88671875" style="13"/>
    <col min="12289" max="12289" width="2.5546875" style="13" customWidth="1"/>
    <col min="12290" max="12290" width="19.6640625" style="13" customWidth="1"/>
    <col min="12291" max="12294" width="7.6640625" style="13" customWidth="1"/>
    <col min="12295" max="12302" width="8" style="13" customWidth="1"/>
    <col min="12303" max="12305" width="6.6640625" style="13" customWidth="1"/>
    <col min="12306" max="12306" width="7.33203125" style="13" customWidth="1"/>
    <col min="12307" max="12307" width="5.6640625" style="13" customWidth="1"/>
    <col min="12308" max="12308" width="9.109375" style="13" customWidth="1"/>
    <col min="12309" max="12309" width="6.6640625" style="13" customWidth="1"/>
    <col min="12310" max="12312" width="7.5546875" style="13" customWidth="1"/>
    <col min="12313" max="12313" width="6.6640625" style="13" customWidth="1"/>
    <col min="12314" max="12323" width="8.88671875" style="13"/>
    <col min="12324" max="12324" width="6.109375" style="13" customWidth="1"/>
    <col min="12325" max="12544" width="8.88671875" style="13"/>
    <col min="12545" max="12545" width="2.5546875" style="13" customWidth="1"/>
    <col min="12546" max="12546" width="19.6640625" style="13" customWidth="1"/>
    <col min="12547" max="12550" width="7.6640625" style="13" customWidth="1"/>
    <col min="12551" max="12558" width="8" style="13" customWidth="1"/>
    <col min="12559" max="12561" width="6.6640625" style="13" customWidth="1"/>
    <col min="12562" max="12562" width="7.33203125" style="13" customWidth="1"/>
    <col min="12563" max="12563" width="5.6640625" style="13" customWidth="1"/>
    <col min="12564" max="12564" width="9.109375" style="13" customWidth="1"/>
    <col min="12565" max="12565" width="6.6640625" style="13" customWidth="1"/>
    <col min="12566" max="12568" width="7.5546875" style="13" customWidth="1"/>
    <col min="12569" max="12569" width="6.6640625" style="13" customWidth="1"/>
    <col min="12570" max="12579" width="8.88671875" style="13"/>
    <col min="12580" max="12580" width="6.109375" style="13" customWidth="1"/>
    <col min="12581" max="12800" width="8.88671875" style="13"/>
    <col min="12801" max="12801" width="2.5546875" style="13" customWidth="1"/>
    <col min="12802" max="12802" width="19.6640625" style="13" customWidth="1"/>
    <col min="12803" max="12806" width="7.6640625" style="13" customWidth="1"/>
    <col min="12807" max="12814" width="8" style="13" customWidth="1"/>
    <col min="12815" max="12817" width="6.6640625" style="13" customWidth="1"/>
    <col min="12818" max="12818" width="7.33203125" style="13" customWidth="1"/>
    <col min="12819" max="12819" width="5.6640625" style="13" customWidth="1"/>
    <col min="12820" max="12820" width="9.109375" style="13" customWidth="1"/>
    <col min="12821" max="12821" width="6.6640625" style="13" customWidth="1"/>
    <col min="12822" max="12824" width="7.5546875" style="13" customWidth="1"/>
    <col min="12825" max="12825" width="6.6640625" style="13" customWidth="1"/>
    <col min="12826" max="12835" width="8.88671875" style="13"/>
    <col min="12836" max="12836" width="6.109375" style="13" customWidth="1"/>
    <col min="12837" max="13056" width="8.88671875" style="13"/>
    <col min="13057" max="13057" width="2.5546875" style="13" customWidth="1"/>
    <col min="13058" max="13058" width="19.6640625" style="13" customWidth="1"/>
    <col min="13059" max="13062" width="7.6640625" style="13" customWidth="1"/>
    <col min="13063" max="13070" width="8" style="13" customWidth="1"/>
    <col min="13071" max="13073" width="6.6640625" style="13" customWidth="1"/>
    <col min="13074" max="13074" width="7.33203125" style="13" customWidth="1"/>
    <col min="13075" max="13075" width="5.6640625" style="13" customWidth="1"/>
    <col min="13076" max="13076" width="9.109375" style="13" customWidth="1"/>
    <col min="13077" max="13077" width="6.6640625" style="13" customWidth="1"/>
    <col min="13078" max="13080" width="7.5546875" style="13" customWidth="1"/>
    <col min="13081" max="13081" width="6.6640625" style="13" customWidth="1"/>
    <col min="13082" max="13091" width="8.88671875" style="13"/>
    <col min="13092" max="13092" width="6.109375" style="13" customWidth="1"/>
    <col min="13093" max="13312" width="8.88671875" style="13"/>
    <col min="13313" max="13313" width="2.5546875" style="13" customWidth="1"/>
    <col min="13314" max="13314" width="19.6640625" style="13" customWidth="1"/>
    <col min="13315" max="13318" width="7.6640625" style="13" customWidth="1"/>
    <col min="13319" max="13326" width="8" style="13" customWidth="1"/>
    <col min="13327" max="13329" width="6.6640625" style="13" customWidth="1"/>
    <col min="13330" max="13330" width="7.33203125" style="13" customWidth="1"/>
    <col min="13331" max="13331" width="5.6640625" style="13" customWidth="1"/>
    <col min="13332" max="13332" width="9.109375" style="13" customWidth="1"/>
    <col min="13333" max="13333" width="6.6640625" style="13" customWidth="1"/>
    <col min="13334" max="13336" width="7.5546875" style="13" customWidth="1"/>
    <col min="13337" max="13337" width="6.6640625" style="13" customWidth="1"/>
    <col min="13338" max="13347" width="8.88671875" style="13"/>
    <col min="13348" max="13348" width="6.109375" style="13" customWidth="1"/>
    <col min="13349" max="13568" width="8.88671875" style="13"/>
    <col min="13569" max="13569" width="2.5546875" style="13" customWidth="1"/>
    <col min="13570" max="13570" width="19.6640625" style="13" customWidth="1"/>
    <col min="13571" max="13574" width="7.6640625" style="13" customWidth="1"/>
    <col min="13575" max="13582" width="8" style="13" customWidth="1"/>
    <col min="13583" max="13585" width="6.6640625" style="13" customWidth="1"/>
    <col min="13586" max="13586" width="7.33203125" style="13" customWidth="1"/>
    <col min="13587" max="13587" width="5.6640625" style="13" customWidth="1"/>
    <col min="13588" max="13588" width="9.109375" style="13" customWidth="1"/>
    <col min="13589" max="13589" width="6.6640625" style="13" customWidth="1"/>
    <col min="13590" max="13592" width="7.5546875" style="13" customWidth="1"/>
    <col min="13593" max="13593" width="6.6640625" style="13" customWidth="1"/>
    <col min="13594" max="13603" width="8.88671875" style="13"/>
    <col min="13604" max="13604" width="6.109375" style="13" customWidth="1"/>
    <col min="13605" max="13824" width="8.88671875" style="13"/>
    <col min="13825" max="13825" width="2.5546875" style="13" customWidth="1"/>
    <col min="13826" max="13826" width="19.6640625" style="13" customWidth="1"/>
    <col min="13827" max="13830" width="7.6640625" style="13" customWidth="1"/>
    <col min="13831" max="13838" width="8" style="13" customWidth="1"/>
    <col min="13839" max="13841" width="6.6640625" style="13" customWidth="1"/>
    <col min="13842" max="13842" width="7.33203125" style="13" customWidth="1"/>
    <col min="13843" max="13843" width="5.6640625" style="13" customWidth="1"/>
    <col min="13844" max="13844" width="9.109375" style="13" customWidth="1"/>
    <col min="13845" max="13845" width="6.6640625" style="13" customWidth="1"/>
    <col min="13846" max="13848" width="7.5546875" style="13" customWidth="1"/>
    <col min="13849" max="13849" width="6.6640625" style="13" customWidth="1"/>
    <col min="13850" max="13859" width="8.88671875" style="13"/>
    <col min="13860" max="13860" width="6.109375" style="13" customWidth="1"/>
    <col min="13861" max="14080" width="8.88671875" style="13"/>
    <col min="14081" max="14081" width="2.5546875" style="13" customWidth="1"/>
    <col min="14082" max="14082" width="19.6640625" style="13" customWidth="1"/>
    <col min="14083" max="14086" width="7.6640625" style="13" customWidth="1"/>
    <col min="14087" max="14094" width="8" style="13" customWidth="1"/>
    <col min="14095" max="14097" width="6.6640625" style="13" customWidth="1"/>
    <col min="14098" max="14098" width="7.33203125" style="13" customWidth="1"/>
    <col min="14099" max="14099" width="5.6640625" style="13" customWidth="1"/>
    <col min="14100" max="14100" width="9.109375" style="13" customWidth="1"/>
    <col min="14101" max="14101" width="6.6640625" style="13" customWidth="1"/>
    <col min="14102" max="14104" width="7.5546875" style="13" customWidth="1"/>
    <col min="14105" max="14105" width="6.6640625" style="13" customWidth="1"/>
    <col min="14106" max="14115" width="8.88671875" style="13"/>
    <col min="14116" max="14116" width="6.109375" style="13" customWidth="1"/>
    <col min="14117" max="14336" width="8.88671875" style="13"/>
    <col min="14337" max="14337" width="2.5546875" style="13" customWidth="1"/>
    <col min="14338" max="14338" width="19.6640625" style="13" customWidth="1"/>
    <col min="14339" max="14342" width="7.6640625" style="13" customWidth="1"/>
    <col min="14343" max="14350" width="8" style="13" customWidth="1"/>
    <col min="14351" max="14353" width="6.6640625" style="13" customWidth="1"/>
    <col min="14354" max="14354" width="7.33203125" style="13" customWidth="1"/>
    <col min="14355" max="14355" width="5.6640625" style="13" customWidth="1"/>
    <col min="14356" max="14356" width="9.109375" style="13" customWidth="1"/>
    <col min="14357" max="14357" width="6.6640625" style="13" customWidth="1"/>
    <col min="14358" max="14360" width="7.5546875" style="13" customWidth="1"/>
    <col min="14361" max="14361" width="6.6640625" style="13" customWidth="1"/>
    <col min="14362" max="14371" width="8.88671875" style="13"/>
    <col min="14372" max="14372" width="6.109375" style="13" customWidth="1"/>
    <col min="14373" max="14592" width="8.88671875" style="13"/>
    <col min="14593" max="14593" width="2.5546875" style="13" customWidth="1"/>
    <col min="14594" max="14594" width="19.6640625" style="13" customWidth="1"/>
    <col min="14595" max="14598" width="7.6640625" style="13" customWidth="1"/>
    <col min="14599" max="14606" width="8" style="13" customWidth="1"/>
    <col min="14607" max="14609" width="6.6640625" style="13" customWidth="1"/>
    <col min="14610" max="14610" width="7.33203125" style="13" customWidth="1"/>
    <col min="14611" max="14611" width="5.6640625" style="13" customWidth="1"/>
    <col min="14612" max="14612" width="9.109375" style="13" customWidth="1"/>
    <col min="14613" max="14613" width="6.6640625" style="13" customWidth="1"/>
    <col min="14614" max="14616" width="7.5546875" style="13" customWidth="1"/>
    <col min="14617" max="14617" width="6.6640625" style="13" customWidth="1"/>
    <col min="14618" max="14627" width="8.88671875" style="13"/>
    <col min="14628" max="14628" width="6.109375" style="13" customWidth="1"/>
    <col min="14629" max="14848" width="8.88671875" style="13"/>
    <col min="14849" max="14849" width="2.5546875" style="13" customWidth="1"/>
    <col min="14850" max="14850" width="19.6640625" style="13" customWidth="1"/>
    <col min="14851" max="14854" width="7.6640625" style="13" customWidth="1"/>
    <col min="14855" max="14862" width="8" style="13" customWidth="1"/>
    <col min="14863" max="14865" width="6.6640625" style="13" customWidth="1"/>
    <col min="14866" max="14866" width="7.33203125" style="13" customWidth="1"/>
    <col min="14867" max="14867" width="5.6640625" style="13" customWidth="1"/>
    <col min="14868" max="14868" width="9.109375" style="13" customWidth="1"/>
    <col min="14869" max="14869" width="6.6640625" style="13" customWidth="1"/>
    <col min="14870" max="14872" width="7.5546875" style="13" customWidth="1"/>
    <col min="14873" max="14873" width="6.6640625" style="13" customWidth="1"/>
    <col min="14874" max="14883" width="8.88671875" style="13"/>
    <col min="14884" max="14884" width="6.109375" style="13" customWidth="1"/>
    <col min="14885" max="15104" width="8.88671875" style="13"/>
    <col min="15105" max="15105" width="2.5546875" style="13" customWidth="1"/>
    <col min="15106" max="15106" width="19.6640625" style="13" customWidth="1"/>
    <col min="15107" max="15110" width="7.6640625" style="13" customWidth="1"/>
    <col min="15111" max="15118" width="8" style="13" customWidth="1"/>
    <col min="15119" max="15121" width="6.6640625" style="13" customWidth="1"/>
    <col min="15122" max="15122" width="7.33203125" style="13" customWidth="1"/>
    <col min="15123" max="15123" width="5.6640625" style="13" customWidth="1"/>
    <col min="15124" max="15124" width="9.109375" style="13" customWidth="1"/>
    <col min="15125" max="15125" width="6.6640625" style="13" customWidth="1"/>
    <col min="15126" max="15128" width="7.5546875" style="13" customWidth="1"/>
    <col min="15129" max="15129" width="6.6640625" style="13" customWidth="1"/>
    <col min="15130" max="15139" width="8.88671875" style="13"/>
    <col min="15140" max="15140" width="6.109375" style="13" customWidth="1"/>
    <col min="15141" max="15360" width="8.88671875" style="13"/>
    <col min="15361" max="15361" width="2.5546875" style="13" customWidth="1"/>
    <col min="15362" max="15362" width="19.6640625" style="13" customWidth="1"/>
    <col min="15363" max="15366" width="7.6640625" style="13" customWidth="1"/>
    <col min="15367" max="15374" width="8" style="13" customWidth="1"/>
    <col min="15375" max="15377" width="6.6640625" style="13" customWidth="1"/>
    <col min="15378" max="15378" width="7.33203125" style="13" customWidth="1"/>
    <col min="15379" max="15379" width="5.6640625" style="13" customWidth="1"/>
    <col min="15380" max="15380" width="9.109375" style="13" customWidth="1"/>
    <col min="15381" max="15381" width="6.6640625" style="13" customWidth="1"/>
    <col min="15382" max="15384" width="7.5546875" style="13" customWidth="1"/>
    <col min="15385" max="15385" width="6.6640625" style="13" customWidth="1"/>
    <col min="15386" max="15395" width="8.88671875" style="13"/>
    <col min="15396" max="15396" width="6.109375" style="13" customWidth="1"/>
    <col min="15397" max="15616" width="8.88671875" style="13"/>
    <col min="15617" max="15617" width="2.5546875" style="13" customWidth="1"/>
    <col min="15618" max="15618" width="19.6640625" style="13" customWidth="1"/>
    <col min="15619" max="15622" width="7.6640625" style="13" customWidth="1"/>
    <col min="15623" max="15630" width="8" style="13" customWidth="1"/>
    <col min="15631" max="15633" width="6.6640625" style="13" customWidth="1"/>
    <col min="15634" max="15634" width="7.33203125" style="13" customWidth="1"/>
    <col min="15635" max="15635" width="5.6640625" style="13" customWidth="1"/>
    <col min="15636" max="15636" width="9.109375" style="13" customWidth="1"/>
    <col min="15637" max="15637" width="6.6640625" style="13" customWidth="1"/>
    <col min="15638" max="15640" width="7.5546875" style="13" customWidth="1"/>
    <col min="15641" max="15641" width="6.6640625" style="13" customWidth="1"/>
    <col min="15642" max="15651" width="8.88671875" style="13"/>
    <col min="15652" max="15652" width="6.109375" style="13" customWidth="1"/>
    <col min="15653" max="15872" width="8.88671875" style="13"/>
    <col min="15873" max="15873" width="2.5546875" style="13" customWidth="1"/>
    <col min="15874" max="15874" width="19.6640625" style="13" customWidth="1"/>
    <col min="15875" max="15878" width="7.6640625" style="13" customWidth="1"/>
    <col min="15879" max="15886" width="8" style="13" customWidth="1"/>
    <col min="15887" max="15889" width="6.6640625" style="13" customWidth="1"/>
    <col min="15890" max="15890" width="7.33203125" style="13" customWidth="1"/>
    <col min="15891" max="15891" width="5.6640625" style="13" customWidth="1"/>
    <col min="15892" max="15892" width="9.109375" style="13" customWidth="1"/>
    <col min="15893" max="15893" width="6.6640625" style="13" customWidth="1"/>
    <col min="15894" max="15896" width="7.5546875" style="13" customWidth="1"/>
    <col min="15897" max="15897" width="6.6640625" style="13" customWidth="1"/>
    <col min="15898" max="15907" width="8.88671875" style="13"/>
    <col min="15908" max="15908" width="6.109375" style="13" customWidth="1"/>
    <col min="15909" max="16128" width="8.88671875" style="13"/>
    <col min="16129" max="16129" width="2.5546875" style="13" customWidth="1"/>
    <col min="16130" max="16130" width="19.6640625" style="13" customWidth="1"/>
    <col min="16131" max="16134" width="7.6640625" style="13" customWidth="1"/>
    <col min="16135" max="16142" width="8" style="13" customWidth="1"/>
    <col min="16143" max="16145" width="6.6640625" style="13" customWidth="1"/>
    <col min="16146" max="16146" width="7.33203125" style="13" customWidth="1"/>
    <col min="16147" max="16147" width="5.6640625" style="13" customWidth="1"/>
    <col min="16148" max="16148" width="9.109375" style="13" customWidth="1"/>
    <col min="16149" max="16149" width="6.6640625" style="13" customWidth="1"/>
    <col min="16150" max="16152" width="7.5546875" style="13" customWidth="1"/>
    <col min="16153" max="16153" width="6.6640625" style="13" customWidth="1"/>
    <col min="16154" max="16163" width="8.88671875" style="13"/>
    <col min="16164" max="16164" width="6.109375" style="13" customWidth="1"/>
    <col min="16165" max="16384" width="8.88671875" style="13"/>
  </cols>
  <sheetData>
    <row r="1" spans="2:25" s="52" customFormat="1" ht="13.8" x14ac:dyDescent="0.25">
      <c r="B1" s="109" t="s">
        <v>99</v>
      </c>
      <c r="E1" s="45"/>
      <c r="F1" s="45"/>
      <c r="G1" s="45"/>
      <c r="H1" s="45"/>
      <c r="I1" s="45"/>
      <c r="J1" s="45"/>
      <c r="K1" s="45"/>
      <c r="L1" s="45"/>
      <c r="M1" s="45"/>
      <c r="N1" s="45"/>
      <c r="O1" s="45"/>
      <c r="P1" s="45"/>
      <c r="Q1" s="45"/>
      <c r="R1" s="45"/>
      <c r="S1" s="45"/>
      <c r="T1" s="45"/>
      <c r="U1" s="45"/>
      <c r="V1" s="45"/>
      <c r="W1" s="45"/>
      <c r="X1" s="45"/>
      <c r="Y1" s="45"/>
    </row>
    <row r="2" spans="2:25" x14ac:dyDescent="0.25">
      <c r="B2" s="110" t="s">
        <v>92</v>
      </c>
      <c r="C2" s="110"/>
    </row>
    <row r="3" spans="2:25" x14ac:dyDescent="0.25">
      <c r="B3" s="111" t="s">
        <v>103</v>
      </c>
      <c r="C3" s="112"/>
    </row>
    <row r="4" spans="2:25" x14ac:dyDescent="0.25">
      <c r="E4" s="113" t="s">
        <v>88</v>
      </c>
      <c r="F4" s="16"/>
      <c r="G4" s="114"/>
      <c r="H4" s="115"/>
      <c r="I4" s="116"/>
      <c r="J4" s="117"/>
      <c r="K4" s="118"/>
      <c r="L4" s="119"/>
      <c r="M4" s="120"/>
      <c r="N4" s="121"/>
      <c r="O4" s="122"/>
      <c r="P4" s="13"/>
      <c r="Q4" s="13"/>
      <c r="R4" s="13"/>
      <c r="T4" s="13"/>
      <c r="U4" s="13"/>
      <c r="V4" s="13"/>
      <c r="W4" s="13"/>
      <c r="X4" s="13"/>
      <c r="Y4" s="13"/>
    </row>
    <row r="5" spans="2:25" x14ac:dyDescent="0.25">
      <c r="B5" s="12" t="s">
        <v>101</v>
      </c>
    </row>
    <row r="6" spans="2:25" x14ac:dyDescent="0.25">
      <c r="B6" s="12" t="s">
        <v>97</v>
      </c>
    </row>
    <row r="7" spans="2:25" x14ac:dyDescent="0.25">
      <c r="B7" s="12" t="s">
        <v>114</v>
      </c>
    </row>
    <row r="8" spans="2:25" x14ac:dyDescent="0.25">
      <c r="B8" s="12" t="s">
        <v>87</v>
      </c>
    </row>
    <row r="9" spans="2:25" x14ac:dyDescent="0.25">
      <c r="B9" s="12" t="s">
        <v>104</v>
      </c>
    </row>
    <row r="10" spans="2:25" x14ac:dyDescent="0.25">
      <c r="B10" s="12" t="s">
        <v>89</v>
      </c>
    </row>
    <row r="11" spans="2:25" x14ac:dyDescent="0.25">
      <c r="B11" s="12" t="s">
        <v>129</v>
      </c>
    </row>
    <row r="12" spans="2:25" x14ac:dyDescent="0.25">
      <c r="B12" s="12" t="s">
        <v>105</v>
      </c>
      <c r="T12" s="13"/>
      <c r="U12" s="13"/>
      <c r="V12" s="13"/>
      <c r="W12" s="13"/>
      <c r="X12" s="13"/>
      <c r="Y12" s="13"/>
    </row>
    <row r="13" spans="2:25" x14ac:dyDescent="0.25">
      <c r="B13" s="111" t="s">
        <v>130</v>
      </c>
      <c r="C13" s="112"/>
    </row>
    <row r="14" spans="2:25" x14ac:dyDescent="0.25">
      <c r="B14" s="111" t="s">
        <v>102</v>
      </c>
      <c r="C14" s="112"/>
    </row>
    <row r="15" spans="2:25" x14ac:dyDescent="0.25">
      <c r="B15" s="123" t="s">
        <v>106</v>
      </c>
      <c r="T15" s="13"/>
      <c r="U15" s="13"/>
      <c r="V15" s="13"/>
      <c r="W15" s="13"/>
      <c r="X15" s="13"/>
      <c r="Y15" s="13"/>
    </row>
    <row r="16" spans="2:25" x14ac:dyDescent="0.25">
      <c r="B16" s="12" t="s">
        <v>131</v>
      </c>
      <c r="T16" s="13"/>
      <c r="U16" s="13"/>
      <c r="V16" s="13"/>
      <c r="W16" s="13"/>
      <c r="X16" s="13"/>
      <c r="Y16" s="13"/>
    </row>
    <row r="17" spans="2:36" x14ac:dyDescent="0.25">
      <c r="B17" s="12" t="s">
        <v>132</v>
      </c>
      <c r="T17" s="13"/>
      <c r="U17" s="13"/>
      <c r="V17" s="13"/>
      <c r="W17" s="13"/>
      <c r="X17" s="13"/>
      <c r="Y17" s="13"/>
    </row>
    <row r="18" spans="2:36" x14ac:dyDescent="0.25">
      <c r="B18" s="12" t="s">
        <v>133</v>
      </c>
      <c r="T18" s="13"/>
      <c r="U18" s="13"/>
      <c r="V18" s="13"/>
      <c r="W18" s="13"/>
      <c r="X18" s="13"/>
      <c r="Y18" s="13"/>
    </row>
    <row r="19" spans="2:36" x14ac:dyDescent="0.25">
      <c r="B19" s="12" t="s">
        <v>134</v>
      </c>
      <c r="T19" s="13"/>
      <c r="U19" s="13"/>
      <c r="V19" s="13"/>
      <c r="W19" s="13"/>
      <c r="X19" s="13"/>
      <c r="Y19" s="13"/>
    </row>
    <row r="20" spans="2:36" x14ac:dyDescent="0.25">
      <c r="B20" s="12" t="s">
        <v>135</v>
      </c>
      <c r="T20" s="13"/>
      <c r="U20" s="13"/>
      <c r="V20" s="13"/>
      <c r="W20" s="13"/>
      <c r="X20" s="13"/>
      <c r="Y20" s="13"/>
    </row>
    <row r="21" spans="2:36" x14ac:dyDescent="0.25">
      <c r="B21" s="107" t="s">
        <v>93</v>
      </c>
      <c r="C21" s="124"/>
    </row>
    <row r="22" spans="2:36" x14ac:dyDescent="0.25">
      <c r="F22" s="125" t="s">
        <v>136</v>
      </c>
      <c r="G22" s="126"/>
      <c r="H22" s="126"/>
      <c r="I22" s="126"/>
      <c r="J22" s="126"/>
      <c r="K22" s="126"/>
      <c r="L22" s="126"/>
      <c r="M22" s="126"/>
      <c r="N22" s="126"/>
      <c r="O22" s="126"/>
      <c r="P22" s="126"/>
      <c r="Q22" s="126"/>
      <c r="R22" s="125" t="s">
        <v>137</v>
      </c>
      <c r="Y22" s="13"/>
    </row>
    <row r="23" spans="2:36" x14ac:dyDescent="0.25">
      <c r="B23" s="64"/>
      <c r="C23" s="127" t="s">
        <v>95</v>
      </c>
      <c r="D23" s="128">
        <v>90</v>
      </c>
      <c r="E23" s="107"/>
      <c r="F23" s="22" t="s">
        <v>138</v>
      </c>
      <c r="R23" s="107" t="s">
        <v>139</v>
      </c>
      <c r="Y23" s="13"/>
    </row>
    <row r="24" spans="2:36" x14ac:dyDescent="0.25">
      <c r="B24" s="129" t="s">
        <v>86</v>
      </c>
      <c r="F24" s="22" t="s">
        <v>140</v>
      </c>
      <c r="R24" s="107" t="s">
        <v>141</v>
      </c>
    </row>
    <row r="25" spans="2:36" x14ac:dyDescent="0.25">
      <c r="D25" s="16" t="s">
        <v>84</v>
      </c>
      <c r="F25" s="22" t="s">
        <v>142</v>
      </c>
      <c r="R25" s="107" t="s">
        <v>143</v>
      </c>
      <c r="U25" s="18"/>
      <c r="AD25" s="14"/>
      <c r="AE25" s="14"/>
      <c r="AF25" s="14"/>
    </row>
    <row r="26" spans="2:36" ht="27.75" customHeight="1" x14ac:dyDescent="0.25">
      <c r="D26" s="19" t="s">
        <v>3</v>
      </c>
      <c r="F26" s="20"/>
      <c r="G26" s="20"/>
      <c r="H26" s="20"/>
      <c r="I26" s="20"/>
      <c r="J26" s="20"/>
      <c r="K26" s="20"/>
      <c r="L26" s="20"/>
      <c r="M26" s="20"/>
      <c r="N26" s="20"/>
      <c r="U26" s="21"/>
      <c r="V26" s="20"/>
      <c r="W26" s="20"/>
      <c r="X26" s="20"/>
      <c r="Y26" s="20"/>
      <c r="AC26" s="20"/>
      <c r="AD26" s="22"/>
      <c r="AE26" s="20"/>
      <c r="AF26" s="20"/>
    </row>
    <row r="27" spans="2:36" x14ac:dyDescent="0.25">
      <c r="C27" s="23" t="s">
        <v>2</v>
      </c>
      <c r="D27" s="93">
        <v>400</v>
      </c>
      <c r="J27" s="130"/>
      <c r="N27" s="131"/>
      <c r="U27" s="18"/>
      <c r="Z27" s="14"/>
      <c r="AA27" s="130"/>
      <c r="AB27" s="14"/>
      <c r="AC27" s="14"/>
      <c r="AD27" s="14"/>
      <c r="AE27" s="131"/>
      <c r="AF27" s="14"/>
      <c r="AG27" s="14"/>
    </row>
    <row r="28" spans="2:36" x14ac:dyDescent="0.25">
      <c r="C28" s="23" t="s">
        <v>25</v>
      </c>
      <c r="D28" s="93">
        <v>30</v>
      </c>
      <c r="J28" s="130"/>
      <c r="L28" s="130" t="s">
        <v>144</v>
      </c>
      <c r="N28" s="131"/>
      <c r="U28" s="17"/>
      <c r="Z28" s="14"/>
      <c r="AA28" s="130"/>
      <c r="AB28" s="14"/>
      <c r="AC28" s="130" t="s">
        <v>144</v>
      </c>
      <c r="AD28" s="14"/>
      <c r="AE28" s="131"/>
      <c r="AF28" s="14"/>
      <c r="AG28" s="14"/>
    </row>
    <row r="29" spans="2:36" x14ac:dyDescent="0.25">
      <c r="C29" s="23" t="s">
        <v>26</v>
      </c>
      <c r="D29" s="25">
        <f>1+D28/100</f>
        <v>1.3</v>
      </c>
      <c r="J29" s="130"/>
      <c r="N29" s="131"/>
      <c r="U29" s="26"/>
      <c r="V29" s="17" t="s">
        <v>85</v>
      </c>
      <c r="Z29" s="14"/>
      <c r="AA29" s="130"/>
      <c r="AB29" s="14"/>
      <c r="AC29" s="14"/>
      <c r="AD29" s="14"/>
      <c r="AE29" s="131"/>
      <c r="AF29" s="14"/>
      <c r="AG29" s="14"/>
    </row>
    <row r="30" spans="2:36" x14ac:dyDescent="0.25">
      <c r="C30" s="23" t="s">
        <v>77</v>
      </c>
      <c r="D30" s="16"/>
      <c r="E30" s="89">
        <v>10</v>
      </c>
      <c r="F30" s="94">
        <f>E30</f>
        <v>10</v>
      </c>
      <c r="G30" s="94">
        <f t="shared" ref="G30:N30" si="0">F30</f>
        <v>10</v>
      </c>
      <c r="H30" s="94">
        <f t="shared" si="0"/>
        <v>10</v>
      </c>
      <c r="I30" s="94">
        <f t="shared" si="0"/>
        <v>10</v>
      </c>
      <c r="J30" s="94">
        <f t="shared" si="0"/>
        <v>10</v>
      </c>
      <c r="K30" s="94">
        <f t="shared" si="0"/>
        <v>10</v>
      </c>
      <c r="L30" s="94">
        <f t="shared" si="0"/>
        <v>10</v>
      </c>
      <c r="M30" s="94">
        <f t="shared" si="0"/>
        <v>10</v>
      </c>
      <c r="N30" s="94">
        <f t="shared" si="0"/>
        <v>10</v>
      </c>
      <c r="U30" s="18"/>
      <c r="V30" s="107" t="s">
        <v>98</v>
      </c>
      <c r="Z30" s="14"/>
      <c r="AA30" s="14"/>
      <c r="AC30" s="15"/>
      <c r="AE30" s="24"/>
      <c r="AF30" s="24"/>
      <c r="AG30" s="24"/>
    </row>
    <row r="31" spans="2:36" x14ac:dyDescent="0.25">
      <c r="C31" s="27"/>
      <c r="D31" s="16"/>
      <c r="E31" s="90"/>
      <c r="F31" s="90"/>
      <c r="G31" s="90"/>
      <c r="H31" s="90"/>
      <c r="I31" s="90"/>
      <c r="J31" s="90"/>
      <c r="K31" s="90"/>
      <c r="L31" s="90"/>
      <c r="M31" s="90"/>
      <c r="N31" s="91"/>
      <c r="U31" s="18"/>
      <c r="Z31" s="14"/>
      <c r="AA31" s="14"/>
      <c r="AC31" s="15"/>
      <c r="AE31" s="24"/>
      <c r="AF31" s="24"/>
      <c r="AG31" s="24"/>
    </row>
    <row r="32" spans="2:36" x14ac:dyDescent="0.25">
      <c r="C32" s="27"/>
      <c r="D32" s="23"/>
      <c r="E32" s="90"/>
      <c r="F32" s="90"/>
      <c r="G32" s="90"/>
      <c r="H32" s="90"/>
      <c r="I32" s="90"/>
      <c r="J32" s="90"/>
      <c r="K32" s="90"/>
      <c r="L32" s="90"/>
      <c r="M32" s="90"/>
      <c r="N32" s="90"/>
      <c r="R32" s="88" t="s">
        <v>90</v>
      </c>
      <c r="S32" s="87"/>
      <c r="U32" s="18"/>
      <c r="Z32" s="14"/>
      <c r="AA32" s="14"/>
      <c r="AC32" s="15"/>
      <c r="AE32" s="24"/>
      <c r="AF32" s="24"/>
      <c r="AG32" s="24"/>
      <c r="AI32" s="88" t="s">
        <v>90</v>
      </c>
      <c r="AJ32" s="87"/>
    </row>
    <row r="33" spans="2:36" ht="12.6" customHeight="1" x14ac:dyDescent="0.25">
      <c r="C33" s="132"/>
      <c r="D33" s="133"/>
      <c r="E33" s="134"/>
      <c r="F33" s="134"/>
      <c r="G33" s="134"/>
      <c r="H33" s="134"/>
      <c r="I33" s="134"/>
      <c r="J33" s="134"/>
      <c r="K33" s="134"/>
      <c r="L33" s="134"/>
      <c r="M33" s="134"/>
      <c r="N33" s="134"/>
      <c r="P33" s="28" t="s">
        <v>2</v>
      </c>
      <c r="R33" s="88" t="s">
        <v>91</v>
      </c>
      <c r="S33" s="87"/>
      <c r="Z33" s="14"/>
      <c r="AA33" s="14"/>
      <c r="AC33" s="15"/>
      <c r="AE33" s="24"/>
      <c r="AF33" s="14"/>
      <c r="AG33" s="28" t="s">
        <v>2</v>
      </c>
      <c r="AI33" s="88" t="s">
        <v>91</v>
      </c>
      <c r="AJ33" s="87"/>
    </row>
    <row r="34" spans="2:36" x14ac:dyDescent="0.25">
      <c r="B34" s="135"/>
      <c r="C34" s="106" t="s">
        <v>4</v>
      </c>
      <c r="D34" s="29"/>
      <c r="E34" s="96">
        <v>812.66894479840244</v>
      </c>
      <c r="F34" s="97">
        <v>706.73425202427995</v>
      </c>
      <c r="G34" s="97">
        <v>595.95357002551157</v>
      </c>
      <c r="H34" s="97">
        <v>625.97412165364346</v>
      </c>
      <c r="I34" s="97">
        <v>556.23851732836431</v>
      </c>
      <c r="J34" s="97">
        <v>629.69262370244178</v>
      </c>
      <c r="K34" s="97">
        <v>662.43443970567694</v>
      </c>
      <c r="L34" s="97">
        <v>645.17699960024163</v>
      </c>
      <c r="M34" s="97">
        <v>628.61852133160573</v>
      </c>
      <c r="N34" s="98">
        <v>638.96908271547159</v>
      </c>
      <c r="O34" s="136"/>
      <c r="P34" s="31">
        <f>AVERAGE(E34:N34)</f>
        <v>650.24610728856385</v>
      </c>
      <c r="R34" s="86">
        <f>COUNT(E34:N34)*(P34-$P$56)^2</f>
        <v>544062.92306580476</v>
      </c>
      <c r="S34" s="87">
        <f>COUNT(E34:N34)</f>
        <v>10</v>
      </c>
      <c r="U34" s="30"/>
      <c r="V34" s="137">
        <f t="shared" ref="V34:AE53" si="1">100*LN(E34)</f>
        <v>670.03238246485898</v>
      </c>
      <c r="W34" s="138">
        <f t="shared" si="1"/>
        <v>656.06547140817679</v>
      </c>
      <c r="X34" s="138">
        <f t="shared" si="1"/>
        <v>639.01627613890219</v>
      </c>
      <c r="Y34" s="138">
        <f t="shared" si="1"/>
        <v>643.93090310341779</v>
      </c>
      <c r="Z34" s="138">
        <f t="shared" si="1"/>
        <v>632.11971902621929</v>
      </c>
      <c r="AA34" s="138">
        <f t="shared" si="1"/>
        <v>644.52318014391756</v>
      </c>
      <c r="AB34" s="138">
        <f t="shared" si="1"/>
        <v>649.59215940287913</v>
      </c>
      <c r="AC34" s="138">
        <f t="shared" si="1"/>
        <v>646.9524697134915</v>
      </c>
      <c r="AD34" s="138">
        <f t="shared" si="1"/>
        <v>644.35245883449352</v>
      </c>
      <c r="AE34" s="139">
        <f t="shared" si="1"/>
        <v>645.98560693501463</v>
      </c>
      <c r="AF34" s="30"/>
      <c r="AG34" s="31">
        <f t="shared" ref="AG34:AG53" si="2">AVERAGE(V34:AE34)</f>
        <v>647.25706271713705</v>
      </c>
      <c r="AI34" s="86">
        <f>COUNT(V34:AE34)*(AG34-$AG$56)^2</f>
        <v>24530.967173806355</v>
      </c>
      <c r="AJ34" s="87">
        <f>COUNT(V34:AE34)</f>
        <v>10</v>
      </c>
    </row>
    <row r="35" spans="2:36" x14ac:dyDescent="0.25">
      <c r="C35" s="105" t="s">
        <v>5</v>
      </c>
      <c r="D35" s="6"/>
      <c r="E35" s="99">
        <v>190.23584740022159</v>
      </c>
      <c r="F35" s="100">
        <v>215.77965529836985</v>
      </c>
      <c r="G35" s="100">
        <v>198.4007142412803</v>
      </c>
      <c r="H35" s="100">
        <v>180.57694483765306</v>
      </c>
      <c r="I35" s="100">
        <v>199.2070851826108</v>
      </c>
      <c r="J35" s="100">
        <v>186.96803129179469</v>
      </c>
      <c r="K35" s="100">
        <v>221.03494784023454</v>
      </c>
      <c r="L35" s="100">
        <v>233.56412492259201</v>
      </c>
      <c r="M35" s="100">
        <v>203.57994762346144</v>
      </c>
      <c r="N35" s="101">
        <v>210.972923078549</v>
      </c>
      <c r="O35" s="136"/>
      <c r="P35" s="31">
        <f t="shared" ref="P35:P53" si="3">AVERAGE(E35:N35)</f>
        <v>204.03202217167672</v>
      </c>
      <c r="R35" s="86">
        <f t="shared" ref="R35:R53" si="4">COUNT(E35:N35)*(P35-$P$56)^2</f>
        <v>453530.35219560639</v>
      </c>
      <c r="S35" s="87">
        <f t="shared" ref="S35:S53" si="5">COUNT(E35:N35)</f>
        <v>10</v>
      </c>
      <c r="U35" s="30"/>
      <c r="V35" s="140">
        <f t="shared" si="1"/>
        <v>524.82646044884086</v>
      </c>
      <c r="W35" s="141">
        <f t="shared" si="1"/>
        <v>537.42577726539866</v>
      </c>
      <c r="X35" s="141">
        <f t="shared" si="1"/>
        <v>529.02887948507453</v>
      </c>
      <c r="Y35" s="141">
        <f t="shared" si="1"/>
        <v>519.61569741275787</v>
      </c>
      <c r="Z35" s="141">
        <f t="shared" si="1"/>
        <v>529.43449127037616</v>
      </c>
      <c r="AA35" s="141">
        <f t="shared" si="1"/>
        <v>523.09376465811499</v>
      </c>
      <c r="AB35" s="141">
        <f t="shared" si="1"/>
        <v>539.8320824039414</v>
      </c>
      <c r="AC35" s="141">
        <f t="shared" si="1"/>
        <v>545.34566643425808</v>
      </c>
      <c r="AD35" s="141">
        <f t="shared" si="1"/>
        <v>531.60587907467334</v>
      </c>
      <c r="AE35" s="142">
        <f t="shared" si="1"/>
        <v>535.17297985995503</v>
      </c>
      <c r="AF35" s="30"/>
      <c r="AG35" s="31">
        <f t="shared" si="2"/>
        <v>531.53816783133914</v>
      </c>
      <c r="AI35" s="86">
        <f t="shared" ref="AI35:AI53" si="6">COUNT(V35:AE35)*(AG35-$AG$56)^2</f>
        <v>43811.357600130374</v>
      </c>
      <c r="AJ35" s="87">
        <f t="shared" ref="AJ35:AJ53" si="7">COUNT(V35:AE35)</f>
        <v>10</v>
      </c>
    </row>
    <row r="36" spans="2:36" x14ac:dyDescent="0.25">
      <c r="C36" s="105" t="s">
        <v>6</v>
      </c>
      <c r="D36" s="6"/>
      <c r="E36" s="99">
        <v>563.84982085276806</v>
      </c>
      <c r="F36" s="100">
        <v>489.19716411122982</v>
      </c>
      <c r="G36" s="100">
        <v>415.06998168889641</v>
      </c>
      <c r="H36" s="100">
        <v>527.91389019544545</v>
      </c>
      <c r="I36" s="100">
        <v>499.0826986000323</v>
      </c>
      <c r="J36" s="100">
        <v>401.31988951544577</v>
      </c>
      <c r="K36" s="100">
        <v>515.02921682796102</v>
      </c>
      <c r="L36" s="100">
        <v>564.92218304516143</v>
      </c>
      <c r="M36" s="100">
        <v>441.72173294774802</v>
      </c>
      <c r="N36" s="101">
        <v>413.523033197389</v>
      </c>
      <c r="O36" s="136"/>
      <c r="P36" s="31">
        <f t="shared" si="3"/>
        <v>483.1629610982078</v>
      </c>
      <c r="R36" s="86">
        <f t="shared" si="4"/>
        <v>43782.595716380412</v>
      </c>
      <c r="S36" s="87">
        <f t="shared" si="5"/>
        <v>10</v>
      </c>
      <c r="U36" s="30"/>
      <c r="V36" s="140">
        <f t="shared" si="1"/>
        <v>633.478794095681</v>
      </c>
      <c r="W36" s="141">
        <f t="shared" si="1"/>
        <v>619.27656068036345</v>
      </c>
      <c r="X36" s="141">
        <f t="shared" si="1"/>
        <v>602.8447136589815</v>
      </c>
      <c r="Y36" s="141">
        <f t="shared" si="1"/>
        <v>626.89331836551207</v>
      </c>
      <c r="Z36" s="141">
        <f t="shared" si="1"/>
        <v>621.27718106774216</v>
      </c>
      <c r="AA36" s="141">
        <f t="shared" si="1"/>
        <v>599.47588387544886</v>
      </c>
      <c r="AB36" s="141">
        <f t="shared" si="1"/>
        <v>624.42236307593328</v>
      </c>
      <c r="AC36" s="141">
        <f t="shared" si="1"/>
        <v>633.66879925373064</v>
      </c>
      <c r="AD36" s="141">
        <f t="shared" si="1"/>
        <v>609.06801203527698</v>
      </c>
      <c r="AE36" s="142">
        <f t="shared" si="1"/>
        <v>602.47132159290504</v>
      </c>
      <c r="AF36" s="30"/>
      <c r="AG36" s="31">
        <f t="shared" si="2"/>
        <v>617.2876947701576</v>
      </c>
      <c r="AI36" s="86">
        <f t="shared" si="6"/>
        <v>3825.6928445164085</v>
      </c>
      <c r="AJ36" s="87">
        <f t="shared" si="7"/>
        <v>10</v>
      </c>
    </row>
    <row r="37" spans="2:36" x14ac:dyDescent="0.25">
      <c r="C37" s="105" t="s">
        <v>7</v>
      </c>
      <c r="D37" s="6"/>
      <c r="E37" s="99">
        <v>626.73793885515659</v>
      </c>
      <c r="F37" s="100">
        <v>560.22242945364314</v>
      </c>
      <c r="G37" s="100">
        <v>541.78786447409743</v>
      </c>
      <c r="H37" s="100">
        <v>636.70800475634246</v>
      </c>
      <c r="I37" s="100">
        <v>548.60228664447254</v>
      </c>
      <c r="J37" s="100">
        <v>514.30646119362791</v>
      </c>
      <c r="K37" s="100">
        <v>546.34544457983441</v>
      </c>
      <c r="L37" s="100">
        <v>571.60423762969981</v>
      </c>
      <c r="M37" s="100">
        <v>501.69293998241022</v>
      </c>
      <c r="N37" s="101">
        <v>564.04350368766961</v>
      </c>
      <c r="O37" s="136"/>
      <c r="P37" s="31">
        <f t="shared" si="3"/>
        <v>561.20511112569545</v>
      </c>
      <c r="R37" s="86">
        <f t="shared" si="4"/>
        <v>207966.87998406886</v>
      </c>
      <c r="S37" s="87">
        <f t="shared" si="5"/>
        <v>10</v>
      </c>
      <c r="U37" s="30"/>
      <c r="V37" s="140">
        <f t="shared" si="1"/>
        <v>644.05284929045422</v>
      </c>
      <c r="W37" s="141">
        <f t="shared" si="1"/>
        <v>632.83339003208971</v>
      </c>
      <c r="X37" s="141">
        <f t="shared" si="1"/>
        <v>629.4874530865809</v>
      </c>
      <c r="Y37" s="141">
        <f t="shared" si="1"/>
        <v>645.63111592014377</v>
      </c>
      <c r="Z37" s="141">
        <f t="shared" si="1"/>
        <v>630.73737466400451</v>
      </c>
      <c r="AA37" s="141">
        <f t="shared" si="1"/>
        <v>624.28193157850353</v>
      </c>
      <c r="AB37" s="141">
        <f t="shared" si="1"/>
        <v>630.32514580664349</v>
      </c>
      <c r="AC37" s="141">
        <f t="shared" si="1"/>
        <v>634.8446859656118</v>
      </c>
      <c r="AD37" s="141">
        <f t="shared" si="1"/>
        <v>621.79882592014587</v>
      </c>
      <c r="AE37" s="142">
        <f t="shared" si="1"/>
        <v>633.51313827213653</v>
      </c>
      <c r="AF37" s="30"/>
      <c r="AG37" s="31">
        <f t="shared" si="2"/>
        <v>632.75059105363141</v>
      </c>
      <c r="AI37" s="86">
        <f t="shared" si="6"/>
        <v>12265.597258977696</v>
      </c>
      <c r="AJ37" s="87">
        <f t="shared" si="7"/>
        <v>10</v>
      </c>
    </row>
    <row r="38" spans="2:36" x14ac:dyDescent="0.25">
      <c r="C38" s="105" t="s">
        <v>8</v>
      </c>
      <c r="D38" s="6"/>
      <c r="E38" s="99">
        <v>380.04579307099067</v>
      </c>
      <c r="F38" s="100">
        <v>301.27966734332068</v>
      </c>
      <c r="G38" s="100">
        <v>373.55858296759527</v>
      </c>
      <c r="H38" s="100">
        <v>314.63810400283342</v>
      </c>
      <c r="I38" s="100">
        <v>281.28191820975479</v>
      </c>
      <c r="J38" s="100">
        <v>307.24887400799685</v>
      </c>
      <c r="K38" s="100">
        <v>327.20065334060172</v>
      </c>
      <c r="L38" s="100">
        <v>288.67788355477541</v>
      </c>
      <c r="M38" s="100">
        <v>278.36266394507493</v>
      </c>
      <c r="N38" s="101">
        <v>285.12885237823406</v>
      </c>
      <c r="O38" s="136"/>
      <c r="P38" s="31">
        <f t="shared" si="3"/>
        <v>313.74229928211776</v>
      </c>
      <c r="R38" s="86">
        <f t="shared" si="4"/>
        <v>106610.25804659577</v>
      </c>
      <c r="S38" s="87">
        <f t="shared" si="5"/>
        <v>10</v>
      </c>
      <c r="U38" s="30"/>
      <c r="V38" s="140">
        <f t="shared" si="1"/>
        <v>594.02917535414701</v>
      </c>
      <c r="W38" s="141">
        <f t="shared" si="1"/>
        <v>570.80389607636516</v>
      </c>
      <c r="X38" s="141">
        <f t="shared" si="1"/>
        <v>592.30748409148964</v>
      </c>
      <c r="Y38" s="141">
        <f t="shared" si="1"/>
        <v>575.14231021800026</v>
      </c>
      <c r="Z38" s="141">
        <f t="shared" si="1"/>
        <v>563.93574340474879</v>
      </c>
      <c r="AA38" s="141">
        <f t="shared" si="1"/>
        <v>572.76580836973517</v>
      </c>
      <c r="AB38" s="141">
        <f t="shared" si="1"/>
        <v>579.05736014888282</v>
      </c>
      <c r="AC38" s="141">
        <f t="shared" si="1"/>
        <v>566.53114767194427</v>
      </c>
      <c r="AD38" s="141">
        <f t="shared" si="1"/>
        <v>562.89248100741054</v>
      </c>
      <c r="AE38" s="142">
        <f t="shared" si="1"/>
        <v>565.29411917039272</v>
      </c>
      <c r="AF38" s="30"/>
      <c r="AG38" s="31">
        <f t="shared" si="2"/>
        <v>574.27595255131166</v>
      </c>
      <c r="AI38" s="86">
        <f t="shared" si="6"/>
        <v>5500.1336742383</v>
      </c>
      <c r="AJ38" s="87">
        <f t="shared" si="7"/>
        <v>10</v>
      </c>
    </row>
    <row r="39" spans="2:36" x14ac:dyDescent="0.25">
      <c r="C39" s="105" t="s">
        <v>9</v>
      </c>
      <c r="D39" s="6"/>
      <c r="E39" s="99">
        <v>695.99480877335236</v>
      </c>
      <c r="F39" s="100">
        <v>490.86320166202768</v>
      </c>
      <c r="G39" s="100">
        <v>503.57156061765818</v>
      </c>
      <c r="H39" s="100">
        <v>553.05136521151087</v>
      </c>
      <c r="I39" s="100">
        <v>533.60951888686486</v>
      </c>
      <c r="J39" s="100">
        <v>576.23253404906586</v>
      </c>
      <c r="K39" s="100">
        <v>638.89612108824758</v>
      </c>
      <c r="L39" s="100">
        <v>552.42267062662461</v>
      </c>
      <c r="M39" s="100">
        <v>496.60496512548718</v>
      </c>
      <c r="N39" s="101">
        <v>583.43844005392668</v>
      </c>
      <c r="O39" s="136"/>
      <c r="P39" s="31">
        <f t="shared" si="3"/>
        <v>562.46851860947663</v>
      </c>
      <c r="R39" s="86">
        <f t="shared" si="4"/>
        <v>211626.77619241687</v>
      </c>
      <c r="S39" s="87">
        <f t="shared" si="5"/>
        <v>10</v>
      </c>
      <c r="U39" s="30"/>
      <c r="V39" s="140">
        <f t="shared" si="1"/>
        <v>654.5342201647627</v>
      </c>
      <c r="W39" s="141">
        <f t="shared" si="1"/>
        <v>619.61654772887766</v>
      </c>
      <c r="X39" s="141">
        <f t="shared" si="1"/>
        <v>622.17258284104844</v>
      </c>
      <c r="Y39" s="141">
        <f t="shared" si="1"/>
        <v>631.54508818589329</v>
      </c>
      <c r="Z39" s="141">
        <f t="shared" si="1"/>
        <v>627.96643334356759</v>
      </c>
      <c r="AA39" s="141">
        <f t="shared" si="1"/>
        <v>635.65112841752693</v>
      </c>
      <c r="AB39" s="141">
        <f t="shared" si="1"/>
        <v>645.97418763553196</v>
      </c>
      <c r="AC39" s="141">
        <f t="shared" si="1"/>
        <v>631.43134609294771</v>
      </c>
      <c r="AD39" s="141">
        <f t="shared" si="1"/>
        <v>620.77948712630837</v>
      </c>
      <c r="AE39" s="142">
        <f t="shared" si="1"/>
        <v>636.89389449680402</v>
      </c>
      <c r="AF39" s="30"/>
      <c r="AG39" s="31">
        <f t="shared" si="2"/>
        <v>632.65649160332691</v>
      </c>
      <c r="AI39" s="86">
        <f t="shared" si="6"/>
        <v>12199.774270069747</v>
      </c>
      <c r="AJ39" s="87">
        <f t="shared" si="7"/>
        <v>10</v>
      </c>
    </row>
    <row r="40" spans="2:36" x14ac:dyDescent="0.25">
      <c r="C40" s="105" t="s">
        <v>10</v>
      </c>
      <c r="D40" s="6"/>
      <c r="E40" s="99">
        <v>290.89893562071086</v>
      </c>
      <c r="F40" s="100">
        <v>277.86787292296543</v>
      </c>
      <c r="G40" s="100">
        <v>278.28380164411533</v>
      </c>
      <c r="H40" s="100">
        <v>280.50643289790895</v>
      </c>
      <c r="I40" s="100">
        <v>281.03066834193032</v>
      </c>
      <c r="J40" s="100">
        <v>301.44990612585042</v>
      </c>
      <c r="K40" s="100">
        <v>334.89807138077538</v>
      </c>
      <c r="L40" s="100">
        <v>309.86171460866842</v>
      </c>
      <c r="M40" s="100">
        <v>266.6455185522633</v>
      </c>
      <c r="N40" s="101">
        <v>327.48241727308601</v>
      </c>
      <c r="O40" s="136"/>
      <c r="P40" s="31">
        <f t="shared" si="3"/>
        <v>294.89253393682742</v>
      </c>
      <c r="R40" s="86">
        <f t="shared" si="4"/>
        <v>149089.00584012584</v>
      </c>
      <c r="S40" s="87">
        <f t="shared" si="5"/>
        <v>10</v>
      </c>
      <c r="U40" s="30"/>
      <c r="V40" s="140">
        <f t="shared" si="1"/>
        <v>567.29759065763142</v>
      </c>
      <c r="W40" s="141">
        <f t="shared" si="1"/>
        <v>562.71457234550826</v>
      </c>
      <c r="X40" s="141">
        <f t="shared" si="1"/>
        <v>562.86414621814572</v>
      </c>
      <c r="Y40" s="141">
        <f t="shared" si="1"/>
        <v>563.65966583821626</v>
      </c>
      <c r="Z40" s="141">
        <f t="shared" si="1"/>
        <v>563.84638033852775</v>
      </c>
      <c r="AA40" s="141">
        <f t="shared" si="1"/>
        <v>570.86038535266766</v>
      </c>
      <c r="AB40" s="141">
        <f t="shared" si="1"/>
        <v>581.3826220992222</v>
      </c>
      <c r="AC40" s="141">
        <f t="shared" si="1"/>
        <v>573.61261160475385</v>
      </c>
      <c r="AD40" s="141">
        <f t="shared" si="1"/>
        <v>558.59201304259636</v>
      </c>
      <c r="AE40" s="142">
        <f t="shared" si="1"/>
        <v>579.14343659183021</v>
      </c>
      <c r="AF40" s="30"/>
      <c r="AG40" s="31">
        <f t="shared" si="2"/>
        <v>568.39734240890994</v>
      </c>
      <c r="AI40" s="86">
        <f t="shared" si="6"/>
        <v>8603.0603192994458</v>
      </c>
      <c r="AJ40" s="87">
        <f t="shared" si="7"/>
        <v>10</v>
      </c>
    </row>
    <row r="41" spans="2:36" x14ac:dyDescent="0.25">
      <c r="C41" s="105" t="s">
        <v>11</v>
      </c>
      <c r="D41" s="6"/>
      <c r="E41" s="99">
        <v>366.80955436007827</v>
      </c>
      <c r="F41" s="100">
        <v>426.36153660164331</v>
      </c>
      <c r="G41" s="100">
        <v>396.25347175689848</v>
      </c>
      <c r="H41" s="100">
        <v>309.99094912349909</v>
      </c>
      <c r="I41" s="100">
        <v>346.72449925515525</v>
      </c>
      <c r="J41" s="100">
        <v>315.91541425553191</v>
      </c>
      <c r="K41" s="100">
        <v>418.17114495876274</v>
      </c>
      <c r="L41" s="100">
        <v>331.15936825732655</v>
      </c>
      <c r="M41" s="100">
        <v>371.5090297165321</v>
      </c>
      <c r="N41" s="101">
        <v>371.0402699947989</v>
      </c>
      <c r="O41" s="136"/>
      <c r="P41" s="31">
        <f t="shared" si="3"/>
        <v>365.39352382802269</v>
      </c>
      <c r="R41" s="86">
        <f t="shared" si="4"/>
        <v>26626.651655349175</v>
      </c>
      <c r="S41" s="87">
        <f t="shared" si="5"/>
        <v>10</v>
      </c>
      <c r="U41" s="30"/>
      <c r="V41" s="140">
        <f t="shared" si="1"/>
        <v>590.48427879167832</v>
      </c>
      <c r="W41" s="141">
        <f t="shared" si="1"/>
        <v>605.52876638149189</v>
      </c>
      <c r="X41" s="141">
        <f t="shared" si="1"/>
        <v>598.20540866847136</v>
      </c>
      <c r="Y41" s="141">
        <f t="shared" si="1"/>
        <v>573.65431006771598</v>
      </c>
      <c r="Z41" s="141">
        <f t="shared" si="1"/>
        <v>584.85305143280902</v>
      </c>
      <c r="AA41" s="141">
        <f t="shared" si="1"/>
        <v>575.54745013486445</v>
      </c>
      <c r="AB41" s="141">
        <f t="shared" si="1"/>
        <v>603.58907864284026</v>
      </c>
      <c r="AC41" s="141">
        <f t="shared" si="1"/>
        <v>580.25997346027827</v>
      </c>
      <c r="AD41" s="141">
        <f t="shared" si="1"/>
        <v>591.75731699634537</v>
      </c>
      <c r="AE41" s="142">
        <f t="shared" si="1"/>
        <v>591.63106011772857</v>
      </c>
      <c r="AF41" s="30"/>
      <c r="AG41" s="31">
        <f t="shared" si="2"/>
        <v>589.55106946942237</v>
      </c>
      <c r="AI41" s="86">
        <f t="shared" si="6"/>
        <v>668.67366433574477</v>
      </c>
      <c r="AJ41" s="87">
        <f t="shared" si="7"/>
        <v>10</v>
      </c>
    </row>
    <row r="42" spans="2:36" x14ac:dyDescent="0.25">
      <c r="C42" s="105" t="s">
        <v>12</v>
      </c>
      <c r="D42" s="6"/>
      <c r="E42" s="99">
        <v>435.75907881679689</v>
      </c>
      <c r="F42" s="100">
        <v>396.50840297969739</v>
      </c>
      <c r="G42" s="100">
        <v>382.85245573190463</v>
      </c>
      <c r="H42" s="100">
        <v>414.24043257194018</v>
      </c>
      <c r="I42" s="100">
        <v>423.39688455081472</v>
      </c>
      <c r="J42" s="100">
        <v>442.90325467249238</v>
      </c>
      <c r="K42" s="100">
        <v>350.07965999651958</v>
      </c>
      <c r="L42" s="100">
        <v>395.92773242733301</v>
      </c>
      <c r="M42" s="100">
        <v>433.98923901013148</v>
      </c>
      <c r="N42" s="101">
        <v>396.4816884200128</v>
      </c>
      <c r="O42" s="136"/>
      <c r="P42" s="31">
        <f t="shared" si="3"/>
        <v>407.21388291776429</v>
      </c>
      <c r="R42" s="86">
        <f t="shared" si="4"/>
        <v>956.61308980795661</v>
      </c>
      <c r="S42" s="87">
        <f t="shared" si="5"/>
        <v>10</v>
      </c>
      <c r="U42" s="30"/>
      <c r="V42" s="140">
        <f t="shared" si="1"/>
        <v>607.70895191040199</v>
      </c>
      <c r="W42" s="141">
        <f t="shared" si="1"/>
        <v>598.26972337373411</v>
      </c>
      <c r="X42" s="141">
        <f t="shared" si="1"/>
        <v>594.7649681883355</v>
      </c>
      <c r="Y42" s="141">
        <f t="shared" si="1"/>
        <v>602.6446560257076</v>
      </c>
      <c r="Z42" s="141">
        <f t="shared" si="1"/>
        <v>604.83100005036761</v>
      </c>
      <c r="AA42" s="141">
        <f t="shared" si="1"/>
        <v>609.33513594514693</v>
      </c>
      <c r="AB42" s="141">
        <f t="shared" si="1"/>
        <v>585.81607285765665</v>
      </c>
      <c r="AC42" s="141">
        <f t="shared" si="1"/>
        <v>598.12317007300771</v>
      </c>
      <c r="AD42" s="141">
        <f t="shared" si="1"/>
        <v>607.30197388854754</v>
      </c>
      <c r="AE42" s="142">
        <f t="shared" si="1"/>
        <v>598.26298569567621</v>
      </c>
      <c r="AF42" s="30"/>
      <c r="AG42" s="31">
        <f t="shared" si="2"/>
        <v>600.7058638008582</v>
      </c>
      <c r="AI42" s="86">
        <f t="shared" si="6"/>
        <v>88.657888630187998</v>
      </c>
      <c r="AJ42" s="87">
        <f t="shared" si="7"/>
        <v>10</v>
      </c>
    </row>
    <row r="43" spans="2:36" x14ac:dyDescent="0.25">
      <c r="C43" s="105" t="s">
        <v>13</v>
      </c>
      <c r="D43" s="6"/>
      <c r="E43" s="99">
        <v>648.09234472850108</v>
      </c>
      <c r="F43" s="100">
        <v>605.84944169791117</v>
      </c>
      <c r="G43" s="100">
        <v>509.07728245787911</v>
      </c>
      <c r="H43" s="100">
        <v>568.01241915908906</v>
      </c>
      <c r="I43" s="100">
        <v>493.67136866698792</v>
      </c>
      <c r="J43" s="100">
        <v>463.90439604674185</v>
      </c>
      <c r="K43" s="100">
        <v>504.99355513495584</v>
      </c>
      <c r="L43" s="100">
        <v>507.32910967928933</v>
      </c>
      <c r="M43" s="100">
        <v>400.26245338662358</v>
      </c>
      <c r="N43" s="101">
        <v>437.11166350980409</v>
      </c>
      <c r="O43" s="136"/>
      <c r="P43" s="31">
        <f t="shared" si="3"/>
        <v>513.8304034467784</v>
      </c>
      <c r="R43" s="86">
        <f t="shared" si="4"/>
        <v>93771.83894838026</v>
      </c>
      <c r="S43" s="87">
        <f t="shared" si="5"/>
        <v>10</v>
      </c>
      <c r="U43" s="30"/>
      <c r="V43" s="140">
        <f t="shared" si="1"/>
        <v>647.40331934961443</v>
      </c>
      <c r="W43" s="141">
        <f t="shared" si="1"/>
        <v>640.66315091584329</v>
      </c>
      <c r="X43" s="141">
        <f t="shared" si="1"/>
        <v>623.25998369660431</v>
      </c>
      <c r="Y43" s="141">
        <f t="shared" si="1"/>
        <v>634.21432831988284</v>
      </c>
      <c r="Z43" s="141">
        <f t="shared" si="1"/>
        <v>620.18700502004901</v>
      </c>
      <c r="AA43" s="141">
        <f t="shared" si="1"/>
        <v>613.96784879937684</v>
      </c>
      <c r="AB43" s="141">
        <f t="shared" si="1"/>
        <v>622.45456670849251</v>
      </c>
      <c r="AC43" s="141">
        <f t="shared" si="1"/>
        <v>622.91599245137866</v>
      </c>
      <c r="AD43" s="141">
        <f t="shared" si="1"/>
        <v>599.21204654130895</v>
      </c>
      <c r="AE43" s="142">
        <f t="shared" si="1"/>
        <v>608.01886853609028</v>
      </c>
      <c r="AF43" s="30"/>
      <c r="AG43" s="31">
        <f t="shared" si="2"/>
        <v>623.22971103386408</v>
      </c>
      <c r="AI43" s="86">
        <f t="shared" si="6"/>
        <v>6503.2113117255867</v>
      </c>
      <c r="AJ43" s="87">
        <f t="shared" si="7"/>
        <v>10</v>
      </c>
    </row>
    <row r="44" spans="2:36" x14ac:dyDescent="0.25">
      <c r="C44" s="105" t="s">
        <v>14</v>
      </c>
      <c r="D44" s="6"/>
      <c r="E44" s="99">
        <v>509.88659187329466</v>
      </c>
      <c r="F44" s="100">
        <v>503.75319507651602</v>
      </c>
      <c r="G44" s="100">
        <v>457.19412705180667</v>
      </c>
      <c r="H44" s="100">
        <v>583.30330320538962</v>
      </c>
      <c r="I44" s="100">
        <v>442.02312416680303</v>
      </c>
      <c r="J44" s="100">
        <v>447.43941312176406</v>
      </c>
      <c r="K44" s="100">
        <v>531.741590675569</v>
      </c>
      <c r="L44" s="100">
        <v>516.87488151664456</v>
      </c>
      <c r="M44" s="100">
        <v>494.2564063537468</v>
      </c>
      <c r="N44" s="101">
        <v>509.59646862828987</v>
      </c>
      <c r="O44" s="136"/>
      <c r="P44" s="31">
        <f t="shared" si="3"/>
        <v>499.6069101669824</v>
      </c>
      <c r="R44" s="86">
        <f t="shared" si="4"/>
        <v>68248.032314290918</v>
      </c>
      <c r="S44" s="87">
        <f t="shared" si="5"/>
        <v>10</v>
      </c>
      <c r="U44" s="30"/>
      <c r="V44" s="140">
        <f t="shared" si="1"/>
        <v>623.41883321148543</v>
      </c>
      <c r="W44" s="141">
        <f t="shared" si="1"/>
        <v>622.2086455824433</v>
      </c>
      <c r="X44" s="141">
        <f t="shared" si="1"/>
        <v>612.5108086369662</v>
      </c>
      <c r="Y44" s="141">
        <f t="shared" si="1"/>
        <v>636.87072967049664</v>
      </c>
      <c r="Z44" s="141">
        <f t="shared" si="1"/>
        <v>609.13621978286687</v>
      </c>
      <c r="AA44" s="141">
        <f t="shared" si="1"/>
        <v>610.35411388768659</v>
      </c>
      <c r="AB44" s="141">
        <f t="shared" si="1"/>
        <v>627.61576395228929</v>
      </c>
      <c r="AC44" s="141">
        <f t="shared" si="1"/>
        <v>624.78008365477376</v>
      </c>
      <c r="AD44" s="141">
        <f t="shared" si="1"/>
        <v>620.30544237345464</v>
      </c>
      <c r="AE44" s="142">
        <f t="shared" si="1"/>
        <v>623.36191745406347</v>
      </c>
      <c r="AF44" s="30"/>
      <c r="AG44" s="31">
        <f t="shared" si="2"/>
        <v>621.05625582065272</v>
      </c>
      <c r="AI44" s="86">
        <f t="shared" si="6"/>
        <v>5441.9276026692514</v>
      </c>
      <c r="AJ44" s="87">
        <f t="shared" si="7"/>
        <v>10</v>
      </c>
    </row>
    <row r="45" spans="2:36" x14ac:dyDescent="0.25">
      <c r="C45" s="105" t="s">
        <v>15</v>
      </c>
      <c r="D45" s="6"/>
      <c r="E45" s="99">
        <v>249.32485595106789</v>
      </c>
      <c r="F45" s="100">
        <v>272.15991293262857</v>
      </c>
      <c r="G45" s="100">
        <v>285.98133015088513</v>
      </c>
      <c r="H45" s="100">
        <v>237.57743797913281</v>
      </c>
      <c r="I45" s="100">
        <v>299.00936610469097</v>
      </c>
      <c r="J45" s="100">
        <v>259.76267742797353</v>
      </c>
      <c r="K45" s="100">
        <v>316.98432810237972</v>
      </c>
      <c r="L45" s="100">
        <v>298.0977064847512</v>
      </c>
      <c r="M45" s="100">
        <v>258.64513959238707</v>
      </c>
      <c r="N45" s="101">
        <v>267.55437452930613</v>
      </c>
      <c r="O45" s="136"/>
      <c r="P45" s="31">
        <f t="shared" si="3"/>
        <v>274.50971292552032</v>
      </c>
      <c r="R45" s="86">
        <f t="shared" si="4"/>
        <v>203019.2676255226</v>
      </c>
      <c r="S45" s="87">
        <f t="shared" si="5"/>
        <v>10</v>
      </c>
      <c r="U45" s="30"/>
      <c r="V45" s="140">
        <f t="shared" si="1"/>
        <v>551.87566885320962</v>
      </c>
      <c r="W45" s="141">
        <f t="shared" si="1"/>
        <v>560.63898087350537</v>
      </c>
      <c r="X45" s="141">
        <f t="shared" si="1"/>
        <v>565.59265294963643</v>
      </c>
      <c r="Y45" s="141">
        <f t="shared" si="1"/>
        <v>547.04936249794105</v>
      </c>
      <c r="Z45" s="141">
        <f t="shared" si="1"/>
        <v>570.04748976649284</v>
      </c>
      <c r="AA45" s="141">
        <f t="shared" si="1"/>
        <v>555.97684350558131</v>
      </c>
      <c r="AB45" s="141">
        <f t="shared" si="1"/>
        <v>575.8852334492334</v>
      </c>
      <c r="AC45" s="141">
        <f t="shared" si="1"/>
        <v>569.74213068763379</v>
      </c>
      <c r="AD45" s="141">
        <f t="shared" si="1"/>
        <v>555.54570048265566</v>
      </c>
      <c r="AE45" s="142">
        <f t="shared" si="1"/>
        <v>558.93228149480967</v>
      </c>
      <c r="AF45" s="30"/>
      <c r="AG45" s="31">
        <f t="shared" si="2"/>
        <v>561.1286344560699</v>
      </c>
      <c r="AI45" s="86">
        <f t="shared" si="6"/>
        <v>13395.367142340545</v>
      </c>
      <c r="AJ45" s="87">
        <f t="shared" si="7"/>
        <v>10</v>
      </c>
    </row>
    <row r="46" spans="2:36" x14ac:dyDescent="0.25">
      <c r="C46" s="105" t="s">
        <v>16</v>
      </c>
      <c r="D46" s="6"/>
      <c r="E46" s="99">
        <v>335.52584324736887</v>
      </c>
      <c r="F46" s="100">
        <v>292.65210968495842</v>
      </c>
      <c r="G46" s="100">
        <v>290.77836067702009</v>
      </c>
      <c r="H46" s="100">
        <v>348.20663384273956</v>
      </c>
      <c r="I46" s="100">
        <v>387.07943677488606</v>
      </c>
      <c r="J46" s="100">
        <v>309.74425148888417</v>
      </c>
      <c r="K46" s="100">
        <v>390.59758010879824</v>
      </c>
      <c r="L46" s="100">
        <v>389.63886363350935</v>
      </c>
      <c r="M46" s="100">
        <v>377.29569364470655</v>
      </c>
      <c r="N46" s="101">
        <v>354.80170983029643</v>
      </c>
      <c r="O46" s="136"/>
      <c r="P46" s="31">
        <f t="shared" si="3"/>
        <v>347.63204829331681</v>
      </c>
      <c r="R46" s="86">
        <f t="shared" si="4"/>
        <v>48111.556530460432</v>
      </c>
      <c r="S46" s="87">
        <f t="shared" si="5"/>
        <v>10</v>
      </c>
      <c r="U46" s="30"/>
      <c r="V46" s="140">
        <f t="shared" si="1"/>
        <v>581.56989824984123</v>
      </c>
      <c r="W46" s="141">
        <f t="shared" si="1"/>
        <v>567.89845646125218</v>
      </c>
      <c r="X46" s="141">
        <f t="shared" si="1"/>
        <v>567.25613298129258</v>
      </c>
      <c r="Y46" s="141">
        <f t="shared" si="1"/>
        <v>585.27960789697784</v>
      </c>
      <c r="Z46" s="141">
        <f t="shared" si="1"/>
        <v>595.86299349504191</v>
      </c>
      <c r="AA46" s="141">
        <f t="shared" si="1"/>
        <v>573.57469617862216</v>
      </c>
      <c r="AB46" s="141">
        <f t="shared" si="1"/>
        <v>596.76778231054107</v>
      </c>
      <c r="AC46" s="141">
        <f t="shared" si="1"/>
        <v>596.52203194461595</v>
      </c>
      <c r="AD46" s="141">
        <f t="shared" si="1"/>
        <v>593.30292132944919</v>
      </c>
      <c r="AE46" s="142">
        <f t="shared" si="1"/>
        <v>587.15590695621904</v>
      </c>
      <c r="AF46" s="30"/>
      <c r="AG46" s="31">
        <f t="shared" si="2"/>
        <v>584.51904278038523</v>
      </c>
      <c r="AI46" s="86">
        <f t="shared" si="6"/>
        <v>1744.849080554493</v>
      </c>
      <c r="AJ46" s="87">
        <f t="shared" si="7"/>
        <v>10</v>
      </c>
    </row>
    <row r="47" spans="2:36" x14ac:dyDescent="0.25">
      <c r="C47" s="105" t="s">
        <v>17</v>
      </c>
      <c r="D47" s="6"/>
      <c r="E47" s="99">
        <v>479.66446386426537</v>
      </c>
      <c r="F47" s="100">
        <v>456.38421187702926</v>
      </c>
      <c r="G47" s="100">
        <v>459.26381187410834</v>
      </c>
      <c r="H47" s="100">
        <v>491.97523616098329</v>
      </c>
      <c r="I47" s="100">
        <v>457.9951475540804</v>
      </c>
      <c r="J47" s="100">
        <v>420.92768955009331</v>
      </c>
      <c r="K47" s="100">
        <v>508.96627675867177</v>
      </c>
      <c r="L47" s="100">
        <v>441.36445709378495</v>
      </c>
      <c r="M47" s="100">
        <v>468.79961802464317</v>
      </c>
      <c r="N47" s="101">
        <v>486.67096375452019</v>
      </c>
      <c r="O47" s="136"/>
      <c r="P47" s="31">
        <f t="shared" si="3"/>
        <v>467.20118765121799</v>
      </c>
      <c r="R47" s="86">
        <f t="shared" si="4"/>
        <v>25207.071808058157</v>
      </c>
      <c r="S47" s="87">
        <f t="shared" si="5"/>
        <v>10</v>
      </c>
      <c r="U47" s="30"/>
      <c r="V47" s="140">
        <f t="shared" si="1"/>
        <v>617.3086825847904</v>
      </c>
      <c r="W47" s="141">
        <f t="shared" si="1"/>
        <v>612.333502465739</v>
      </c>
      <c r="X47" s="141">
        <f t="shared" si="1"/>
        <v>612.96247984913532</v>
      </c>
      <c r="Y47" s="141">
        <f t="shared" si="1"/>
        <v>619.84283822194288</v>
      </c>
      <c r="Z47" s="141">
        <f t="shared" si="1"/>
        <v>612.68585891979728</v>
      </c>
      <c r="AA47" s="141">
        <f t="shared" si="1"/>
        <v>604.24610601417749</v>
      </c>
      <c r="AB47" s="141">
        <f t="shared" si="1"/>
        <v>623.23817604433987</v>
      </c>
      <c r="AC47" s="141">
        <f t="shared" si="1"/>
        <v>608.98709674581028</v>
      </c>
      <c r="AD47" s="141">
        <f t="shared" si="1"/>
        <v>615.01754234686211</v>
      </c>
      <c r="AE47" s="142">
        <f t="shared" si="1"/>
        <v>618.75882556278668</v>
      </c>
      <c r="AF47" s="30"/>
      <c r="AG47" s="31">
        <f t="shared" si="2"/>
        <v>614.53811087553811</v>
      </c>
      <c r="AI47" s="86">
        <f t="shared" si="6"/>
        <v>2825.691922217502</v>
      </c>
      <c r="AJ47" s="87">
        <f t="shared" si="7"/>
        <v>10</v>
      </c>
    </row>
    <row r="48" spans="2:36" x14ac:dyDescent="0.25">
      <c r="C48" s="105" t="s">
        <v>18</v>
      </c>
      <c r="D48" s="6"/>
      <c r="E48" s="99">
        <v>357.54110781674973</v>
      </c>
      <c r="F48" s="100">
        <v>298.42244452083912</v>
      </c>
      <c r="G48" s="100">
        <v>270.57192164365449</v>
      </c>
      <c r="H48" s="100">
        <v>362.7488327516636</v>
      </c>
      <c r="I48" s="100">
        <v>321.25643719244226</v>
      </c>
      <c r="J48" s="100">
        <v>299.86655115915306</v>
      </c>
      <c r="K48" s="100">
        <v>366.13151959593313</v>
      </c>
      <c r="L48" s="100">
        <v>330.66196693840698</v>
      </c>
      <c r="M48" s="100">
        <v>265.5910714195993</v>
      </c>
      <c r="N48" s="101">
        <v>327.69725549049588</v>
      </c>
      <c r="O48" s="136"/>
      <c r="P48" s="31">
        <f t="shared" si="3"/>
        <v>320.04891085289375</v>
      </c>
      <c r="R48" s="86">
        <f t="shared" si="4"/>
        <v>93984.555660020633</v>
      </c>
      <c r="S48" s="87">
        <f t="shared" si="5"/>
        <v>10</v>
      </c>
      <c r="U48" s="30"/>
      <c r="V48" s="140">
        <f t="shared" si="1"/>
        <v>587.92503424235747</v>
      </c>
      <c r="W48" s="141">
        <f t="shared" si="1"/>
        <v>569.85100817236582</v>
      </c>
      <c r="X48" s="141">
        <f t="shared" si="1"/>
        <v>560.05379470256821</v>
      </c>
      <c r="Y48" s="141">
        <f t="shared" si="1"/>
        <v>589.37106739828653</v>
      </c>
      <c r="Z48" s="141">
        <f t="shared" si="1"/>
        <v>577.22396739618</v>
      </c>
      <c r="AA48" s="141">
        <f t="shared" si="1"/>
        <v>570.33375462207334</v>
      </c>
      <c r="AB48" s="141">
        <f t="shared" si="1"/>
        <v>590.29926120113635</v>
      </c>
      <c r="AC48" s="141">
        <f t="shared" si="1"/>
        <v>580.10966056278767</v>
      </c>
      <c r="AD48" s="141">
        <f t="shared" si="1"/>
        <v>558.19578003941524</v>
      </c>
      <c r="AE48" s="142">
        <f t="shared" si="1"/>
        <v>579.20901806025506</v>
      </c>
      <c r="AF48" s="30"/>
      <c r="AG48" s="31">
        <f t="shared" si="2"/>
        <v>576.25723463974259</v>
      </c>
      <c r="AI48" s="86">
        <f t="shared" si="6"/>
        <v>4610.0734951357244</v>
      </c>
      <c r="AJ48" s="87">
        <f t="shared" si="7"/>
        <v>10</v>
      </c>
    </row>
    <row r="49" spans="3:36" x14ac:dyDescent="0.25">
      <c r="C49" s="105" t="s">
        <v>19</v>
      </c>
      <c r="D49" s="6"/>
      <c r="E49" s="99">
        <v>775.36620712495733</v>
      </c>
      <c r="F49" s="100">
        <v>708.62381094854993</v>
      </c>
      <c r="G49" s="100">
        <v>604.01915288204577</v>
      </c>
      <c r="H49" s="100">
        <v>576.40178084826709</v>
      </c>
      <c r="I49" s="100">
        <v>722.85890264052034</v>
      </c>
      <c r="J49" s="100">
        <v>577.06066775382419</v>
      </c>
      <c r="K49" s="100">
        <v>646.37724636859002</v>
      </c>
      <c r="L49" s="100">
        <v>740.5099357185286</v>
      </c>
      <c r="M49" s="100">
        <v>637.88338985405517</v>
      </c>
      <c r="N49" s="101">
        <v>564.05840284628493</v>
      </c>
      <c r="O49" s="136"/>
      <c r="P49" s="31">
        <f t="shared" si="3"/>
        <v>655.31594969856235</v>
      </c>
      <c r="R49" s="86">
        <f t="shared" si="4"/>
        <v>567970.92955680611</v>
      </c>
      <c r="S49" s="87">
        <f t="shared" si="5"/>
        <v>10</v>
      </c>
      <c r="U49" s="30"/>
      <c r="V49" s="140">
        <f t="shared" si="1"/>
        <v>665.3335443070938</v>
      </c>
      <c r="W49" s="141">
        <f t="shared" si="1"/>
        <v>656.33247946731183</v>
      </c>
      <c r="X49" s="141">
        <f t="shared" si="1"/>
        <v>640.36059075016738</v>
      </c>
      <c r="Y49" s="141">
        <f t="shared" si="1"/>
        <v>635.6804953725499</v>
      </c>
      <c r="Z49" s="141">
        <f t="shared" si="1"/>
        <v>658.32140477061682</v>
      </c>
      <c r="AA49" s="141">
        <f t="shared" si="1"/>
        <v>635.7947404401757</v>
      </c>
      <c r="AB49" s="141">
        <f t="shared" si="1"/>
        <v>647.138330604369</v>
      </c>
      <c r="AC49" s="141">
        <f t="shared" si="1"/>
        <v>660.73390511985656</v>
      </c>
      <c r="AD49" s="141">
        <f t="shared" si="1"/>
        <v>645.81554921160671</v>
      </c>
      <c r="AE49" s="142">
        <f t="shared" si="1"/>
        <v>633.51577972829045</v>
      </c>
      <c r="AF49" s="30"/>
      <c r="AG49" s="31">
        <f t="shared" si="2"/>
        <v>647.90268197720377</v>
      </c>
      <c r="AI49" s="86">
        <f t="shared" si="6"/>
        <v>25174.669667816412</v>
      </c>
      <c r="AJ49" s="87">
        <f t="shared" si="7"/>
        <v>10</v>
      </c>
    </row>
    <row r="50" spans="3:36" x14ac:dyDescent="0.25">
      <c r="C50" s="105" t="s">
        <v>20</v>
      </c>
      <c r="D50" s="6"/>
      <c r="E50" s="99">
        <v>208.29532521626069</v>
      </c>
      <c r="F50" s="100">
        <v>269.12070046707902</v>
      </c>
      <c r="G50" s="100">
        <v>278.48203638621538</v>
      </c>
      <c r="H50" s="100">
        <v>264.19820005714678</v>
      </c>
      <c r="I50" s="100">
        <v>238.39905419203768</v>
      </c>
      <c r="J50" s="100">
        <v>278.22212379860088</v>
      </c>
      <c r="K50" s="100">
        <v>297.8137259373072</v>
      </c>
      <c r="L50" s="100">
        <v>283.39943029535203</v>
      </c>
      <c r="M50" s="100">
        <v>273.72334324716047</v>
      </c>
      <c r="N50" s="101">
        <v>238.03641650468705</v>
      </c>
      <c r="O50" s="136"/>
      <c r="P50" s="31">
        <f t="shared" si="3"/>
        <v>262.96903561018473</v>
      </c>
      <c r="R50" s="86">
        <f t="shared" si="4"/>
        <v>237238.56884746224</v>
      </c>
      <c r="S50" s="87">
        <f t="shared" si="5"/>
        <v>10</v>
      </c>
      <c r="U50" s="30"/>
      <c r="V50" s="140">
        <f t="shared" si="1"/>
        <v>533.89569054623314</v>
      </c>
      <c r="W50" s="141">
        <f t="shared" si="1"/>
        <v>559.51599795869299</v>
      </c>
      <c r="X50" s="141">
        <f t="shared" si="1"/>
        <v>562.93535559808117</v>
      </c>
      <c r="Y50" s="141">
        <f t="shared" si="1"/>
        <v>557.66995792608793</v>
      </c>
      <c r="Z50" s="141">
        <f t="shared" si="1"/>
        <v>547.39459678680464</v>
      </c>
      <c r="AA50" s="141">
        <f t="shared" si="1"/>
        <v>562.84198011246849</v>
      </c>
      <c r="AB50" s="141">
        <f t="shared" si="1"/>
        <v>569.64682103136931</v>
      </c>
      <c r="AC50" s="141">
        <f t="shared" si="1"/>
        <v>564.6857317005273</v>
      </c>
      <c r="AD50" s="141">
        <f t="shared" si="1"/>
        <v>561.21179001232542</v>
      </c>
      <c r="AE50" s="142">
        <f t="shared" si="1"/>
        <v>547.2423672490454</v>
      </c>
      <c r="AF50" s="30"/>
      <c r="AG50" s="31">
        <f t="shared" si="2"/>
        <v>556.70402889216371</v>
      </c>
      <c r="AI50" s="86">
        <f t="shared" si="6"/>
        <v>16829.921608595774</v>
      </c>
      <c r="AJ50" s="87">
        <f t="shared" si="7"/>
        <v>10</v>
      </c>
    </row>
    <row r="51" spans="3:36" x14ac:dyDescent="0.25">
      <c r="C51" s="105" t="s">
        <v>22</v>
      </c>
      <c r="D51" s="6"/>
      <c r="E51" s="99">
        <v>399.48995067433083</v>
      </c>
      <c r="F51" s="100">
        <v>312.56297685591773</v>
      </c>
      <c r="G51" s="100">
        <v>449.92470566121381</v>
      </c>
      <c r="H51" s="100">
        <v>355.11607678559182</v>
      </c>
      <c r="I51" s="100">
        <v>423.7425019048091</v>
      </c>
      <c r="J51" s="100">
        <v>396.19202595123187</v>
      </c>
      <c r="K51" s="100">
        <v>448.40419895861174</v>
      </c>
      <c r="L51" s="100">
        <v>382.683496057963</v>
      </c>
      <c r="M51" s="100">
        <v>397.08271338552964</v>
      </c>
      <c r="N51" s="101">
        <v>412.09404397311363</v>
      </c>
      <c r="O51" s="136"/>
      <c r="P51" s="31">
        <f t="shared" si="3"/>
        <v>397.72926902083128</v>
      </c>
      <c r="R51" s="86">
        <f t="shared" si="4"/>
        <v>3711.507762461672</v>
      </c>
      <c r="S51" s="87">
        <f t="shared" si="5"/>
        <v>10</v>
      </c>
      <c r="U51" s="30"/>
      <c r="V51" s="140">
        <f t="shared" si="1"/>
        <v>599.01886101323237</v>
      </c>
      <c r="W51" s="141">
        <f t="shared" si="1"/>
        <v>574.4805974811768</v>
      </c>
      <c r="X51" s="141">
        <f t="shared" si="1"/>
        <v>610.90802480118282</v>
      </c>
      <c r="Y51" s="141">
        <f t="shared" si="1"/>
        <v>587.24447128909537</v>
      </c>
      <c r="Z51" s="141">
        <f t="shared" si="1"/>
        <v>604.91259639181885</v>
      </c>
      <c r="AA51" s="141">
        <f t="shared" si="1"/>
        <v>598.18990077399349</v>
      </c>
      <c r="AB51" s="141">
        <f t="shared" si="1"/>
        <v>610.56950554686375</v>
      </c>
      <c r="AC51" s="141">
        <f t="shared" si="1"/>
        <v>594.72082664898915</v>
      </c>
      <c r="AD51" s="141">
        <f t="shared" si="1"/>
        <v>598.41446050454329</v>
      </c>
      <c r="AE51" s="142">
        <f t="shared" si="1"/>
        <v>602.12515853723676</v>
      </c>
      <c r="AF51" s="30"/>
      <c r="AG51" s="31">
        <f t="shared" si="2"/>
        <v>598.05844029881314</v>
      </c>
      <c r="AI51" s="86">
        <f t="shared" si="6"/>
        <v>1.0898182611534553</v>
      </c>
      <c r="AJ51" s="87">
        <f t="shared" si="7"/>
        <v>10</v>
      </c>
    </row>
    <row r="52" spans="3:36" x14ac:dyDescent="0.25">
      <c r="C52" s="105" t="s">
        <v>21</v>
      </c>
      <c r="D52" s="6"/>
      <c r="E52" s="99">
        <v>261.44126362856531</v>
      </c>
      <c r="F52" s="100">
        <v>289.34129870572133</v>
      </c>
      <c r="G52" s="100">
        <v>256.9536564110872</v>
      </c>
      <c r="H52" s="100">
        <v>248.22442306912228</v>
      </c>
      <c r="I52" s="100">
        <v>228.41431149439617</v>
      </c>
      <c r="J52" s="100">
        <v>241.66993250511882</v>
      </c>
      <c r="K52" s="100">
        <v>251.41503438442484</v>
      </c>
      <c r="L52" s="100">
        <v>265.53943989630324</v>
      </c>
      <c r="M52" s="100">
        <v>304.51907885405302</v>
      </c>
      <c r="N52" s="101">
        <v>251.70877786702152</v>
      </c>
      <c r="O52" s="136"/>
      <c r="P52" s="31">
        <f t="shared" si="3"/>
        <v>259.92272168158138</v>
      </c>
      <c r="R52" s="86">
        <f t="shared" si="4"/>
        <v>246715.57009511846</v>
      </c>
      <c r="S52" s="87">
        <f t="shared" si="5"/>
        <v>10</v>
      </c>
      <c r="U52" s="30"/>
      <c r="V52" s="140">
        <f t="shared" si="1"/>
        <v>556.62096450005527</v>
      </c>
      <c r="W52" s="141">
        <f t="shared" si="1"/>
        <v>566.76069557021935</v>
      </c>
      <c r="X52" s="141">
        <f t="shared" si="1"/>
        <v>554.88957433859798</v>
      </c>
      <c r="Y52" s="141">
        <f t="shared" si="1"/>
        <v>551.43332686914448</v>
      </c>
      <c r="Z52" s="141">
        <f t="shared" si="1"/>
        <v>543.11611356016329</v>
      </c>
      <c r="AA52" s="141">
        <f t="shared" si="1"/>
        <v>548.75728799095396</v>
      </c>
      <c r="AB52" s="141">
        <f t="shared" si="1"/>
        <v>552.710509701094</v>
      </c>
      <c r="AC52" s="141">
        <f t="shared" si="1"/>
        <v>558.17633791648734</v>
      </c>
      <c r="AD52" s="141">
        <f t="shared" si="1"/>
        <v>571.87337415222748</v>
      </c>
      <c r="AE52" s="142">
        <f t="shared" si="1"/>
        <v>552.82727758558667</v>
      </c>
      <c r="AF52" s="30"/>
      <c r="AG52" s="31">
        <f t="shared" si="2"/>
        <v>555.716546218453</v>
      </c>
      <c r="AI52" s="86">
        <f t="shared" si="6"/>
        <v>17649.888290087707</v>
      </c>
      <c r="AJ52" s="87">
        <f t="shared" si="7"/>
        <v>10</v>
      </c>
    </row>
    <row r="53" spans="3:36" x14ac:dyDescent="0.25">
      <c r="C53" s="105" t="s">
        <v>23</v>
      </c>
      <c r="D53" s="6"/>
      <c r="E53" s="102">
        <v>543.78940592632011</v>
      </c>
      <c r="F53" s="103">
        <v>510.79539485751781</v>
      </c>
      <c r="G53" s="103">
        <v>448.1429409968141</v>
      </c>
      <c r="H53" s="103">
        <v>512.1218143859054</v>
      </c>
      <c r="I53" s="103">
        <v>518.75397695052857</v>
      </c>
      <c r="J53" s="103">
        <v>464.34589155309311</v>
      </c>
      <c r="K53" s="103">
        <v>520.64993439466127</v>
      </c>
      <c r="L53" s="103">
        <v>507.3685203988411</v>
      </c>
      <c r="M53" s="103">
        <v>503.24878872418935</v>
      </c>
      <c r="N53" s="104">
        <v>458.46080851823007</v>
      </c>
      <c r="O53" s="136"/>
      <c r="P53" s="31">
        <f t="shared" si="3"/>
        <v>498.76774767061005</v>
      </c>
      <c r="R53" s="86">
        <f t="shared" si="4"/>
        <v>66868.570243697424</v>
      </c>
      <c r="S53" s="87">
        <f t="shared" si="5"/>
        <v>10</v>
      </c>
      <c r="U53" s="30"/>
      <c r="V53" s="143">
        <f t="shared" si="1"/>
        <v>629.85620504461167</v>
      </c>
      <c r="W53" s="144">
        <f t="shared" si="1"/>
        <v>623.59691085686404</v>
      </c>
      <c r="X53" s="144">
        <f t="shared" si="1"/>
        <v>610.51122462496915</v>
      </c>
      <c r="Y53" s="144">
        <f t="shared" si="1"/>
        <v>623.8562515463808</v>
      </c>
      <c r="Z53" s="144">
        <f t="shared" si="1"/>
        <v>625.14297379261791</v>
      </c>
      <c r="AA53" s="144">
        <f t="shared" si="1"/>
        <v>614.0629730445379</v>
      </c>
      <c r="AB53" s="144">
        <f t="shared" si="1"/>
        <v>625.50779049692926</v>
      </c>
      <c r="AC53" s="144">
        <f t="shared" si="1"/>
        <v>622.92376042449757</v>
      </c>
      <c r="AD53" s="144">
        <f t="shared" si="1"/>
        <v>622.10846576102767</v>
      </c>
      <c r="AE53" s="145">
        <f t="shared" si="1"/>
        <v>612.78748104383681</v>
      </c>
      <c r="AF53" s="30"/>
      <c r="AG53" s="31">
        <f t="shared" si="2"/>
        <v>621.03540366362722</v>
      </c>
      <c r="AI53" s="86">
        <f t="shared" si="6"/>
        <v>5432.2031936524445</v>
      </c>
      <c r="AJ53" s="87">
        <f t="shared" si="7"/>
        <v>10</v>
      </c>
    </row>
    <row r="54" spans="3:36" x14ac:dyDescent="0.25">
      <c r="E54" s="147"/>
      <c r="F54" s="147"/>
      <c r="G54" s="147"/>
      <c r="H54" s="147"/>
      <c r="I54" s="147"/>
      <c r="J54" s="147"/>
      <c r="K54" s="147"/>
      <c r="L54" s="147"/>
      <c r="M54" s="147"/>
      <c r="N54" s="147"/>
      <c r="O54" s="147"/>
      <c r="P54" s="32"/>
      <c r="R54" s="86"/>
      <c r="S54" s="87"/>
      <c r="U54" s="32"/>
      <c r="V54" s="32"/>
      <c r="W54" s="32"/>
      <c r="X54" s="32"/>
      <c r="Y54" s="32"/>
      <c r="Z54" s="32"/>
      <c r="AA54" s="32"/>
      <c r="AB54" s="32"/>
      <c r="AF54" s="32"/>
      <c r="AG54" s="32"/>
      <c r="AI54" s="86"/>
      <c r="AJ54" s="87"/>
    </row>
    <row r="55" spans="3:36" x14ac:dyDescent="0.25">
      <c r="F55" s="30"/>
      <c r="G55" s="30"/>
      <c r="H55" s="30"/>
      <c r="I55" s="30"/>
      <c r="J55" s="30"/>
      <c r="K55" s="30"/>
      <c r="L55" s="30"/>
      <c r="M55" s="30"/>
      <c r="N55" s="30"/>
      <c r="O55" s="148" t="s">
        <v>2</v>
      </c>
      <c r="P55" s="149">
        <f>AVERAGE(P33:P53)</f>
        <v>416.99454286384162</v>
      </c>
      <c r="Q55" s="150" t="s">
        <v>1</v>
      </c>
      <c r="R55" s="86">
        <f>SUM(R34:R53)</f>
        <v>3399099.5251784353</v>
      </c>
      <c r="S55" s="87">
        <f>1/(E69-1)*(G69-SUMPRODUCT(S34:S53,S34:S53)/G69)</f>
        <v>10</v>
      </c>
      <c r="U55" s="30"/>
      <c r="V55" s="30"/>
      <c r="W55" s="30"/>
      <c r="X55" s="30"/>
      <c r="Y55" s="30"/>
      <c r="Z55" s="30"/>
      <c r="AA55" s="30"/>
      <c r="AB55" s="30"/>
      <c r="AC55" s="30"/>
      <c r="AD55" s="30"/>
      <c r="AE55" s="30"/>
      <c r="AF55" s="148" t="s">
        <v>2</v>
      </c>
      <c r="AG55" s="149">
        <f>AVERAGE(AG33:AG53)</f>
        <v>597.72831634313047</v>
      </c>
      <c r="AH55" s="150" t="s">
        <v>1</v>
      </c>
      <c r="AI55" s="86">
        <f>SUM(AI34:AI53)</f>
        <v>211102.80782706081</v>
      </c>
      <c r="AJ55" s="87">
        <f>1/(V73-1)*(X73-SUMPRODUCT(AJ34:AJ53,AJ34:AJ53)/X73)</f>
        <v>10</v>
      </c>
    </row>
    <row r="56" spans="3:36" x14ac:dyDescent="0.25">
      <c r="D56" s="33" t="s">
        <v>2</v>
      </c>
      <c r="E56" s="34">
        <f t="shared" ref="E56:N56" si="8">AVERAGE(E34:E53)</f>
        <v>456.57090413000799</v>
      </c>
      <c r="F56" s="34">
        <f t="shared" si="8"/>
        <v>419.22398400109222</v>
      </c>
      <c r="G56" s="34">
        <f t="shared" si="8"/>
        <v>399.80606646703438</v>
      </c>
      <c r="H56" s="34">
        <f t="shared" si="8"/>
        <v>419.57432017479039</v>
      </c>
      <c r="I56" s="34">
        <f t="shared" si="8"/>
        <v>410.11888523210911</v>
      </c>
      <c r="J56" s="34">
        <f t="shared" si="8"/>
        <v>391.75863045853629</v>
      </c>
      <c r="K56" s="34">
        <f t="shared" si="8"/>
        <v>439.90823450692579</v>
      </c>
      <c r="L56" s="34">
        <f t="shared" si="8"/>
        <v>427.83923611928992</v>
      </c>
      <c r="M56" s="34">
        <f t="shared" si="8"/>
        <v>400.20161273607039</v>
      </c>
      <c r="N56" s="34">
        <f t="shared" si="8"/>
        <v>404.94355481255928</v>
      </c>
      <c r="O56" s="149">
        <f>AVERAGE(E56:N56)</f>
        <v>416.99454286384162</v>
      </c>
      <c r="P56" s="149">
        <f>AVERAGE(E34:N53)</f>
        <v>416.99454286384133</v>
      </c>
      <c r="Q56" s="151">
        <f>STDEV(E56:N56)</f>
        <v>20.075848246301593</v>
      </c>
      <c r="U56" s="33" t="s">
        <v>2</v>
      </c>
      <c r="V56" s="34">
        <f t="shared" ref="V56:AE56" si="9">AVERAGE(V34:V53)</f>
        <v>604.03357025404898</v>
      </c>
      <c r="W56" s="34">
        <f t="shared" si="9"/>
        <v>597.84075655487095</v>
      </c>
      <c r="X56" s="34">
        <f t="shared" si="9"/>
        <v>594.59662676531173</v>
      </c>
      <c r="Y56" s="34">
        <f t="shared" si="9"/>
        <v>597.56147510730739</v>
      </c>
      <c r="Z56" s="34">
        <f t="shared" si="9"/>
        <v>596.15162971404061</v>
      </c>
      <c r="AA56" s="34">
        <f t="shared" si="9"/>
        <v>592.18174569227881</v>
      </c>
      <c r="AB56" s="34">
        <f t="shared" si="9"/>
        <v>604.0912406560094</v>
      </c>
      <c r="AC56" s="34">
        <f t="shared" si="9"/>
        <v>600.75337140636907</v>
      </c>
      <c r="AD56" s="34">
        <f t="shared" si="9"/>
        <v>594.45757603403388</v>
      </c>
      <c r="AE56" s="34">
        <f t="shared" si="9"/>
        <v>595.61517124703312</v>
      </c>
      <c r="AF56" s="149">
        <f>AVERAGE(V56:AE56)</f>
        <v>597.72831634313047</v>
      </c>
      <c r="AG56" s="149">
        <f>AVERAGE(V34:AE53)</f>
        <v>597.72831634313081</v>
      </c>
      <c r="AH56" s="151">
        <f>STDEV(V56:AE56)</f>
        <v>4.0504521053164151</v>
      </c>
    </row>
    <row r="57" spans="3:36" ht="13.8" thickBot="1" x14ac:dyDescent="0.3">
      <c r="E57" s="13"/>
      <c r="F57" s="13"/>
      <c r="G57" s="13"/>
      <c r="H57" s="13"/>
      <c r="I57" s="13"/>
      <c r="J57" s="13"/>
      <c r="K57" s="13"/>
      <c r="L57" s="13"/>
      <c r="M57" s="13"/>
      <c r="N57" s="13"/>
      <c r="O57" s="152" t="s">
        <v>1</v>
      </c>
      <c r="P57" s="153">
        <f>STDEV(P34:P53)</f>
        <v>133.75349528494255</v>
      </c>
      <c r="Q57" s="154">
        <f>STDEV(E34:N53)</f>
        <v>137.55906623240594</v>
      </c>
      <c r="R57" s="13"/>
      <c r="S57" s="13"/>
      <c r="T57" s="13"/>
      <c r="U57" s="13"/>
      <c r="V57" s="13"/>
      <c r="W57" s="13"/>
      <c r="X57" s="13"/>
      <c r="Y57" s="13"/>
      <c r="AF57" s="152" t="s">
        <v>1</v>
      </c>
      <c r="AG57" s="153">
        <f>STDEV(AG34:AG53)</f>
        <v>33.332677804462541</v>
      </c>
      <c r="AH57" s="154">
        <f>STDEV(V34:AE53)</f>
        <v>33.941679420474685</v>
      </c>
    </row>
    <row r="58" spans="3:36" x14ac:dyDescent="0.25">
      <c r="C58" s="155" t="s">
        <v>24</v>
      </c>
      <c r="D58" s="156"/>
      <c r="E58" s="157"/>
      <c r="F58" s="51" t="s">
        <v>57</v>
      </c>
      <c r="G58" s="51" t="s">
        <v>58</v>
      </c>
      <c r="H58" s="51" t="s">
        <v>74</v>
      </c>
      <c r="I58" s="158" t="s">
        <v>75</v>
      </c>
      <c r="J58" s="35"/>
      <c r="K58" s="35"/>
      <c r="L58" s="35"/>
      <c r="M58" s="35"/>
      <c r="N58" s="35"/>
      <c r="P58" s="35"/>
      <c r="S58" s="68"/>
      <c r="T58" s="51"/>
      <c r="U58" s="51"/>
      <c r="V58" s="159" t="s">
        <v>78</v>
      </c>
      <c r="W58" s="51" t="s">
        <v>57</v>
      </c>
      <c r="X58" s="51" t="s">
        <v>58</v>
      </c>
      <c r="Y58" s="51" t="s">
        <v>74</v>
      </c>
      <c r="Z58" s="160" t="s">
        <v>75</v>
      </c>
      <c r="AA58" s="35"/>
      <c r="AB58" s="35"/>
      <c r="AC58" s="35"/>
      <c r="AD58" s="35"/>
      <c r="AE58" s="35"/>
      <c r="AF58" s="12" t="s">
        <v>54</v>
      </c>
    </row>
    <row r="59" spans="3:36" x14ac:dyDescent="0.25">
      <c r="C59" s="79"/>
      <c r="D59" s="161" t="s">
        <v>65</v>
      </c>
      <c r="E59" s="46">
        <f>SQRT(E77)</f>
        <v>140.43640587206994</v>
      </c>
      <c r="F59" s="46">
        <f>SQRT(F77)</f>
        <v>111.49604749236535</v>
      </c>
      <c r="G59" s="46">
        <f>SQRT(G77)</f>
        <v>192.45551082020677</v>
      </c>
      <c r="H59" s="162"/>
      <c r="I59" s="56">
        <f>SQRT(G59/F59)</f>
        <v>1.3138187018590246</v>
      </c>
      <c r="J59" s="35"/>
      <c r="K59" s="35"/>
      <c r="L59" s="35"/>
      <c r="M59" s="35"/>
      <c r="N59" s="35"/>
      <c r="P59" s="35"/>
      <c r="S59" s="69"/>
      <c r="T59" s="65"/>
      <c r="U59" s="161" t="s">
        <v>79</v>
      </c>
      <c r="V59" s="67">
        <f t="shared" ref="V59:X61" si="10">EXP(V84/100)</f>
        <v>1.4143560112321196</v>
      </c>
      <c r="W59" s="67">
        <f t="shared" si="10"/>
        <v>1.3168382333157413</v>
      </c>
      <c r="X59" s="67">
        <f t="shared" si="10"/>
        <v>1.6081526236332255</v>
      </c>
      <c r="Y59" s="65"/>
      <c r="Z59" s="56">
        <f>SQRT(X59/W59)</f>
        <v>1.1050894124644448</v>
      </c>
      <c r="AA59" s="35"/>
      <c r="AB59" s="35"/>
      <c r="AC59" s="35"/>
      <c r="AD59" s="35"/>
      <c r="AE59" s="35"/>
      <c r="AF59" s="148" t="s">
        <v>2</v>
      </c>
      <c r="AG59" s="149">
        <f>EXP(AG55/100)</f>
        <v>394.36747939402557</v>
      </c>
      <c r="AH59" s="150" t="s">
        <v>55</v>
      </c>
    </row>
    <row r="60" spans="3:36" x14ac:dyDescent="0.25">
      <c r="C60" s="80"/>
      <c r="D60" s="163" t="s">
        <v>63</v>
      </c>
      <c r="E60" s="40">
        <f>IF(ISERROR(SQRT(E78)),-SQRT(-E78), SQRT(E78))</f>
        <v>132.99022140958198</v>
      </c>
      <c r="F60" s="40">
        <f>IF(ISERROR(SQRT(F78)),-SQRT(-F78), SQRT(F78))</f>
        <v>90.217182546574904</v>
      </c>
      <c r="G60" s="40">
        <f>IF(ISERROR(SQRT(G78)),-SQRT(-G78), SQRT(G78))</f>
        <v>165.02623414020346</v>
      </c>
      <c r="H60" s="40">
        <f>(G60-F60)/2</f>
        <v>37.404525796814276</v>
      </c>
      <c r="I60" s="85"/>
      <c r="J60" s="35"/>
      <c r="K60" s="35"/>
      <c r="L60" s="35"/>
      <c r="M60" s="35"/>
      <c r="N60" s="35"/>
      <c r="P60" s="35"/>
      <c r="S60" s="70"/>
      <c r="T60" s="66"/>
      <c r="U60" s="163" t="s">
        <v>82</v>
      </c>
      <c r="V60" s="44">
        <f t="shared" si="10"/>
        <v>1.3934888646929062</v>
      </c>
      <c r="W60" s="44">
        <f t="shared" si="10"/>
        <v>1.2528223789548205</v>
      </c>
      <c r="X60" s="44">
        <f t="shared" si="10"/>
        <v>1.5091889862028427</v>
      </c>
      <c r="Y60" s="66"/>
      <c r="Z60" s="53">
        <f>SQRT(X60/W60)</f>
        <v>1.0975569453361214</v>
      </c>
      <c r="AA60" s="35"/>
      <c r="AB60" s="35"/>
      <c r="AC60" s="35"/>
      <c r="AD60" s="35"/>
      <c r="AE60" s="35"/>
      <c r="AF60" s="149">
        <f>EXP(AF56/100)</f>
        <v>394.36747939402557</v>
      </c>
      <c r="AG60" s="149">
        <f>EXP(AG56/100)</f>
        <v>394.36747939402699</v>
      </c>
      <c r="AH60" s="151">
        <f>100*EXP(AH56/100)-100</f>
        <v>4.1336017627372428</v>
      </c>
    </row>
    <row r="61" spans="3:36" x14ac:dyDescent="0.25">
      <c r="C61" s="81"/>
      <c r="D61" s="38" t="s">
        <v>61</v>
      </c>
      <c r="E61" s="58">
        <f>SQRT(H72)</f>
        <v>45.121891623635676</v>
      </c>
      <c r="F61" s="58">
        <f>SQRT(H70*E61^2/CHIINV((100-$D$23)/100/2,H70))</f>
        <v>41.547466995223417</v>
      </c>
      <c r="G61" s="58">
        <f>SQRT(H70*E61^2/CHIINV(1-(100-$D$23)/100/2,H70))</f>
        <v>49.433701617508689</v>
      </c>
      <c r="H61" s="164"/>
      <c r="I61" s="59">
        <f>SQRT(G61/F61)</f>
        <v>1.0907853342680311</v>
      </c>
      <c r="J61" s="36"/>
      <c r="K61" s="35"/>
      <c r="L61" s="36"/>
      <c r="M61" s="36"/>
      <c r="N61" s="36"/>
      <c r="P61" s="36"/>
      <c r="S61" s="71"/>
      <c r="T61" s="45"/>
      <c r="U61" s="165" t="s">
        <v>80</v>
      </c>
      <c r="V61" s="166">
        <f t="shared" si="10"/>
        <v>1.1056387271345194</v>
      </c>
      <c r="W61" s="166">
        <f t="shared" si="10"/>
        <v>1.0968780063454602</v>
      </c>
      <c r="X61" s="166">
        <f t="shared" si="10"/>
        <v>1.1162999030801386</v>
      </c>
      <c r="Y61" s="45"/>
      <c r="Z61" s="57">
        <f>SQRT(X61/W61)</f>
        <v>1.008814415039313</v>
      </c>
      <c r="AA61" s="36"/>
      <c r="AB61" s="36"/>
      <c r="AC61" s="36"/>
      <c r="AD61" s="36"/>
      <c r="AE61" s="36"/>
      <c r="AF61" s="152" t="s">
        <v>55</v>
      </c>
      <c r="AG61" s="153">
        <f>100*EXP(AG57/100)-100</f>
        <v>39.560327647370485</v>
      </c>
      <c r="AH61" s="154">
        <f>100*EXP(AH57/100)-100</f>
        <v>40.41284558720173</v>
      </c>
    </row>
    <row r="62" spans="3:36" ht="13.8" thickBot="1" x14ac:dyDescent="0.3">
      <c r="C62" s="82"/>
      <c r="D62" s="167" t="s">
        <v>56</v>
      </c>
      <c r="E62" s="168">
        <f>(E76-1)/(E76+S55-1)</f>
        <v>0.89676779977694554</v>
      </c>
      <c r="F62" s="168">
        <f>(F76-1)/(F76+S55-1)</f>
        <v>0.83981490385008872</v>
      </c>
      <c r="G62" s="168">
        <f>(G76-1)/(G76+S55-1)</f>
        <v>0.94353774970882331</v>
      </c>
      <c r="H62" s="168">
        <f>(G62-F62)/2</f>
        <v>5.1861422929367296E-2</v>
      </c>
      <c r="I62" s="63"/>
      <c r="J62" s="13"/>
      <c r="K62" s="13"/>
      <c r="L62" s="13"/>
      <c r="M62" s="36"/>
      <c r="N62" s="36"/>
      <c r="P62" s="36"/>
      <c r="S62" s="69"/>
      <c r="T62" s="65"/>
      <c r="U62" s="161" t="s">
        <v>115</v>
      </c>
      <c r="V62" s="46">
        <f t="shared" ref="V62:X64" si="11">100*V59-100</f>
        <v>41.435601123211967</v>
      </c>
      <c r="W62" s="46">
        <f t="shared" si="11"/>
        <v>31.683823331574132</v>
      </c>
      <c r="X62" s="46">
        <f t="shared" si="11"/>
        <v>60.815262363322546</v>
      </c>
      <c r="Y62" s="162"/>
      <c r="Z62" s="56">
        <f>SQRT(X62/W62)</f>
        <v>1.3854392935037858</v>
      </c>
      <c r="AA62" s="36"/>
      <c r="AB62" s="36"/>
      <c r="AC62" s="36"/>
    </row>
    <row r="63" spans="3:36" x14ac:dyDescent="0.25">
      <c r="C63" s="78"/>
      <c r="D63" s="54"/>
      <c r="E63" s="47" t="s">
        <v>59</v>
      </c>
      <c r="F63" s="48">
        <v>2</v>
      </c>
      <c r="G63" s="169" t="s">
        <v>60</v>
      </c>
      <c r="H63" s="51"/>
      <c r="I63" s="83"/>
      <c r="J63" s="13"/>
      <c r="K63" s="13"/>
      <c r="L63" s="13"/>
      <c r="S63" s="70"/>
      <c r="T63" s="66"/>
      <c r="U63" s="163" t="s">
        <v>116</v>
      </c>
      <c r="V63" s="40">
        <f t="shared" si="11"/>
        <v>39.348886469290619</v>
      </c>
      <c r="W63" s="40">
        <f t="shared" si="11"/>
        <v>25.282237895482055</v>
      </c>
      <c r="X63" s="40">
        <f t="shared" si="11"/>
        <v>50.918898620284267</v>
      </c>
      <c r="Y63" s="40">
        <f>(X63-W63)/2</f>
        <v>12.818330362401106</v>
      </c>
      <c r="Z63" s="85"/>
      <c r="AA63" s="36"/>
      <c r="AB63" s="36"/>
    </row>
    <row r="64" spans="3:36" x14ac:dyDescent="0.25">
      <c r="C64" s="84"/>
      <c r="D64" s="42"/>
      <c r="E64" s="41"/>
      <c r="F64" s="41" t="s">
        <v>57</v>
      </c>
      <c r="G64" s="41" t="s">
        <v>58</v>
      </c>
      <c r="H64" s="41" t="s">
        <v>74</v>
      </c>
      <c r="I64" s="170" t="s">
        <v>75</v>
      </c>
      <c r="J64" s="13"/>
      <c r="K64" s="13"/>
      <c r="L64" s="13"/>
      <c r="S64" s="71"/>
      <c r="T64" s="45"/>
      <c r="U64" s="38" t="s">
        <v>119</v>
      </c>
      <c r="V64" s="58">
        <f t="shared" si="11"/>
        <v>10.563872713451943</v>
      </c>
      <c r="W64" s="58">
        <f t="shared" si="11"/>
        <v>9.6878006345460221</v>
      </c>
      <c r="X64" s="58">
        <f t="shared" si="11"/>
        <v>11.629990308013859</v>
      </c>
      <c r="Y64" s="164"/>
      <c r="Z64" s="59">
        <f>SQRT(X64/W64)</f>
        <v>1.0956632118708032</v>
      </c>
      <c r="AA64" s="14"/>
      <c r="AB64" s="36"/>
    </row>
    <row r="65" spans="1:28" ht="13.8" thickBot="1" x14ac:dyDescent="0.3">
      <c r="C65" s="80"/>
      <c r="D65" s="39" t="s">
        <v>61</v>
      </c>
      <c r="E65" s="40">
        <f>E61/SQRT(F63)</f>
        <v>31.905995547037261</v>
      </c>
      <c r="F65" s="40">
        <f>F61/SQRT(F63)</f>
        <v>29.378495653446748</v>
      </c>
      <c r="G65" s="40">
        <f>G61/SQRT(F63)</f>
        <v>34.954905632892796</v>
      </c>
      <c r="H65" s="171"/>
      <c r="I65" s="53">
        <f>SQRT(G65/F65)</f>
        <v>1.0907853342680311</v>
      </c>
      <c r="J65" s="13"/>
      <c r="K65" s="13"/>
      <c r="L65" s="13"/>
      <c r="S65" s="72"/>
      <c r="T65" s="73"/>
      <c r="U65" s="167" t="s">
        <v>56</v>
      </c>
      <c r="V65" s="168">
        <f>(V80-1)/(V80+AJ55-1)</f>
        <v>0.91608785906821433</v>
      </c>
      <c r="W65" s="168">
        <f>(W80-1)/(W80+AJ55-1)</f>
        <v>0.86840206870339931</v>
      </c>
      <c r="X65" s="168">
        <f>(X80-1)/(X80+AJ55-1)</f>
        <v>0.95449989556871184</v>
      </c>
      <c r="Y65" s="168">
        <f>(X65-W65)/2</f>
        <v>4.3048913432656266E-2</v>
      </c>
      <c r="Z65" s="63"/>
      <c r="AA65" s="14"/>
      <c r="AB65" s="36"/>
    </row>
    <row r="66" spans="1:28" ht="13.8" thickBot="1" x14ac:dyDescent="0.3">
      <c r="C66" s="76"/>
      <c r="D66" s="172" t="s">
        <v>56</v>
      </c>
      <c r="E66" s="49">
        <f>IF(E76&lt;1,"~0.0",(E76-1)/(E76-1+$S$55/$F$63))</f>
        <v>0.9455746769661556</v>
      </c>
      <c r="F66" s="49">
        <f>IF(F76&lt;1,"?",(F76-1)/(F76-1+$S$55/$F$63))</f>
        <v>0.9129341240715575</v>
      </c>
      <c r="G66" s="49">
        <f>IF(E76&lt;1,"?",(G76-1)/(G76-1+$S$55/$F$63))</f>
        <v>0.97094872466478421</v>
      </c>
      <c r="H66" s="49">
        <f>IF(F76&lt;1,"?",(G66-F66)/2)</f>
        <v>2.9007300296613359E-2</v>
      </c>
      <c r="I66" s="55"/>
      <c r="J66" s="13"/>
      <c r="K66" s="13"/>
      <c r="L66" s="13"/>
      <c r="S66" s="68"/>
      <c r="T66" s="51"/>
      <c r="U66" s="54"/>
      <c r="V66" s="47" t="s">
        <v>59</v>
      </c>
      <c r="W66" s="48">
        <v>2</v>
      </c>
      <c r="X66" s="169" t="s">
        <v>60</v>
      </c>
      <c r="Y66" s="51"/>
      <c r="Z66" s="74"/>
      <c r="AA66" s="14"/>
      <c r="AB66" s="36"/>
    </row>
    <row r="67" spans="1:28" x14ac:dyDescent="0.25">
      <c r="D67" s="14"/>
      <c r="E67" s="173" t="s">
        <v>47</v>
      </c>
      <c r="F67" s="173"/>
      <c r="I67" s="35"/>
      <c r="J67" s="13"/>
      <c r="K67" s="13"/>
      <c r="L67" s="13"/>
      <c r="S67" s="75"/>
      <c r="T67" s="41"/>
      <c r="U67" s="41"/>
      <c r="V67" s="41"/>
      <c r="W67" s="41" t="s">
        <v>57</v>
      </c>
      <c r="X67" s="41" t="s">
        <v>58</v>
      </c>
      <c r="Y67" s="41" t="s">
        <v>74</v>
      </c>
      <c r="Z67" s="170" t="s">
        <v>75</v>
      </c>
      <c r="AA67" s="14"/>
      <c r="AB67" s="36"/>
    </row>
    <row r="68" spans="1:28" x14ac:dyDescent="0.25">
      <c r="E68" s="173" t="s">
        <v>49</v>
      </c>
      <c r="F68" s="173"/>
      <c r="G68" s="14" t="s">
        <v>28</v>
      </c>
      <c r="H68" s="14" t="s">
        <v>29</v>
      </c>
      <c r="I68" s="35"/>
      <c r="J68" s="13"/>
      <c r="K68" s="13"/>
      <c r="L68" s="13"/>
      <c r="S68" s="69"/>
      <c r="T68" s="65"/>
      <c r="U68" s="161" t="s">
        <v>80</v>
      </c>
      <c r="V68" s="67">
        <f>EXP(V87/100)</f>
        <v>1.0735918831738309</v>
      </c>
      <c r="W68" s="67">
        <f>EXP(W87/100)</f>
        <v>1.0675696688663909</v>
      </c>
      <c r="X68" s="67">
        <f>EXP(X87/100)</f>
        <v>1.080901673491484</v>
      </c>
      <c r="Y68" s="162"/>
      <c r="Z68" s="56">
        <f>SQRT(X68/W68)</f>
        <v>1.0062247175872081</v>
      </c>
      <c r="AA68" s="14"/>
      <c r="AB68" s="36"/>
    </row>
    <row r="69" spans="1:28" x14ac:dyDescent="0.25">
      <c r="D69" s="15" t="s">
        <v>0</v>
      </c>
      <c r="E69" s="14">
        <f>COUNT(P34:P53)</f>
        <v>20</v>
      </c>
      <c r="G69" s="14">
        <f>COUNT(E34:N53)</f>
        <v>200</v>
      </c>
      <c r="J69" s="13"/>
      <c r="K69" s="13"/>
      <c r="L69" s="13"/>
      <c r="S69" s="70"/>
      <c r="T69" s="66"/>
      <c r="U69" s="39" t="s">
        <v>119</v>
      </c>
      <c r="V69" s="40">
        <f>100*V68-100</f>
        <v>7.3591883173830865</v>
      </c>
      <c r="W69" s="40">
        <f>100*W68-100</f>
        <v>6.7569668866390913</v>
      </c>
      <c r="X69" s="40">
        <f>100*X68-100</f>
        <v>8.0901673491484019</v>
      </c>
      <c r="Y69" s="171"/>
      <c r="Z69" s="53">
        <f>SQRT(X69/W69)</f>
        <v>1.0942154871598702</v>
      </c>
      <c r="AA69" s="14"/>
      <c r="AB69" s="36"/>
    </row>
    <row r="70" spans="1:28" ht="13.8" thickBot="1" x14ac:dyDescent="0.3">
      <c r="D70" s="15" t="s">
        <v>30</v>
      </c>
      <c r="E70" s="14">
        <f>E69-1</f>
        <v>19</v>
      </c>
      <c r="G70" s="14">
        <f>G69-1</f>
        <v>199</v>
      </c>
      <c r="H70" s="14">
        <f>G70-E70</f>
        <v>180</v>
      </c>
      <c r="I70" s="36"/>
      <c r="S70" s="76"/>
      <c r="T70" s="77"/>
      <c r="U70" s="172" t="s">
        <v>56</v>
      </c>
      <c r="V70" s="49">
        <f>IF(V80&lt;1,"~0.0",(V80-1)/(V80-1+$AJ$55/$W$66))</f>
        <v>0.95620652751664958</v>
      </c>
      <c r="W70" s="49">
        <f>IF(W80&lt;1,"?",(W80-1)/(W80-1+$AJ$55/$W$66))</f>
        <v>0.92956658874397169</v>
      </c>
      <c r="X70" s="49">
        <f>IF(V80&lt;1,"?",(X80-1)/(X80-1+$AJ$55/$W$66))</f>
        <v>0.97672033417118775</v>
      </c>
      <c r="Y70" s="49">
        <f>IF(W80&lt;1,"?",(X70-W70)/2)</f>
        <v>2.3576872713608032E-2</v>
      </c>
      <c r="Z70" s="55"/>
      <c r="AA70" s="14"/>
      <c r="AB70" s="36"/>
    </row>
    <row r="71" spans="1:28" x14ac:dyDescent="0.25">
      <c r="D71" s="15" t="s">
        <v>27</v>
      </c>
      <c r="E71" s="14">
        <f>R55</f>
        <v>3399099.5251784353</v>
      </c>
      <c r="F71" s="30"/>
      <c r="G71" s="14">
        <f>Q57^2*G70</f>
        <v>3765576.8438435574</v>
      </c>
      <c r="H71" s="14">
        <f>G71-E71-F71</f>
        <v>366477.31866512215</v>
      </c>
      <c r="I71" s="13"/>
      <c r="V71" s="173" t="s">
        <v>47</v>
      </c>
      <c r="W71" s="173"/>
      <c r="Z71" s="35"/>
      <c r="AA71" s="14"/>
      <c r="AB71" s="36"/>
    </row>
    <row r="72" spans="1:28" x14ac:dyDescent="0.25">
      <c r="D72" s="113" t="s">
        <v>50</v>
      </c>
      <c r="E72" s="174">
        <f>P57^2-H72/S55</f>
        <v>17686.398990569636</v>
      </c>
      <c r="F72" s="30"/>
      <c r="G72" s="30"/>
      <c r="H72" s="30">
        <f>H71/H70</f>
        <v>2035.9851036951231</v>
      </c>
      <c r="I72" s="13"/>
      <c r="U72" s="13"/>
      <c r="V72" s="173" t="s">
        <v>49</v>
      </c>
      <c r="W72" s="173"/>
      <c r="X72" s="14" t="s">
        <v>28</v>
      </c>
      <c r="Y72" s="14" t="s">
        <v>29</v>
      </c>
      <c r="Z72" s="35"/>
      <c r="AA72" s="14"/>
      <c r="AB72" s="36"/>
    </row>
    <row r="73" spans="1:28" x14ac:dyDescent="0.25">
      <c r="D73" s="113" t="s">
        <v>51</v>
      </c>
      <c r="E73" s="14">
        <f>2*P57^4/(E69-1)+1/S55^2*2*H72^2/H70</f>
        <v>33690145.906295143</v>
      </c>
      <c r="F73" s="30"/>
      <c r="G73" s="30"/>
      <c r="H73" s="14">
        <f>2*H72^2/H70</f>
        <v>46058.17047187157</v>
      </c>
      <c r="I73" s="13"/>
      <c r="U73" s="15" t="s">
        <v>0</v>
      </c>
      <c r="V73" s="14">
        <f>COUNT(AG34:AG53)</f>
        <v>20</v>
      </c>
      <c r="X73" s="14">
        <f>COUNT(V34:AE53)</f>
        <v>200</v>
      </c>
      <c r="Z73" s="35"/>
      <c r="AA73" s="14"/>
      <c r="AB73" s="36"/>
    </row>
    <row r="74" spans="1:28" x14ac:dyDescent="0.25">
      <c r="D74" s="175" t="s">
        <v>52</v>
      </c>
      <c r="E74" s="174">
        <f>SQRT(E73)</f>
        <v>5804.3213131506718</v>
      </c>
      <c r="F74" s="174"/>
      <c r="G74" s="174"/>
      <c r="H74" s="174">
        <f>SQRT(H73)</f>
        <v>214.61167366168965</v>
      </c>
      <c r="I74" s="13"/>
      <c r="U74" s="15" t="s">
        <v>30</v>
      </c>
      <c r="V74" s="14">
        <f>V73-1</f>
        <v>19</v>
      </c>
      <c r="X74" s="14">
        <f>X73-1</f>
        <v>199</v>
      </c>
      <c r="Y74" s="14">
        <f>X74-V74</f>
        <v>180</v>
      </c>
      <c r="Z74" s="36"/>
      <c r="AA74" s="14"/>
      <c r="AB74" s="36"/>
    </row>
    <row r="75" spans="1:28" x14ac:dyDescent="0.25">
      <c r="D75" s="14"/>
      <c r="F75" s="14" t="s">
        <v>57</v>
      </c>
      <c r="G75" s="14" t="s">
        <v>58</v>
      </c>
      <c r="U75" s="15" t="s">
        <v>27</v>
      </c>
      <c r="V75" s="14">
        <f>AI55</f>
        <v>211102.80782706081</v>
      </c>
      <c r="X75" s="14">
        <f>AH57^2*X74</f>
        <v>229255.48277457265</v>
      </c>
      <c r="Y75" s="14">
        <f>X75-V75-W75</f>
        <v>18152.674947511841</v>
      </c>
      <c r="Z75" s="36"/>
      <c r="AA75" s="14"/>
      <c r="AB75" s="36"/>
    </row>
    <row r="76" spans="1:28" x14ac:dyDescent="0.25">
      <c r="D76" s="15" t="s">
        <v>66</v>
      </c>
      <c r="E76" s="35">
        <f>E71/E70/(H71/H70)</f>
        <v>87.8689999669961</v>
      </c>
      <c r="F76" s="176">
        <f>E76/FINV((1-$D$23/100)/2,E70,H70)</f>
        <v>53.427780363794717</v>
      </c>
      <c r="G76" s="176">
        <f>E76*FINV((1-$D$23/100)/2,H70,E70)</f>
        <v>168.10948374232072</v>
      </c>
      <c r="I76" s="13"/>
      <c r="U76" s="113" t="s">
        <v>50</v>
      </c>
      <c r="V76" s="177">
        <f>AG57^2-Y76/AJ55</f>
        <v>1100.9825902008254</v>
      </c>
      <c r="W76" s="35"/>
      <c r="X76" s="35"/>
      <c r="Y76" s="35">
        <f>Y75/Y74</f>
        <v>100.84819415284356</v>
      </c>
      <c r="Z76" s="36"/>
      <c r="AB76" s="36"/>
    </row>
    <row r="77" spans="1:28" x14ac:dyDescent="0.25">
      <c r="D77" s="113" t="s">
        <v>71</v>
      </c>
      <c r="E77" s="30">
        <f>E72+H72</f>
        <v>19722.384094264758</v>
      </c>
      <c r="F77" s="30">
        <f>E70*E77/CHIINV((100-$D$23)/100/2,E70)</f>
        <v>12431.368606419788</v>
      </c>
      <c r="G77" s="30">
        <f>E70*E77/CHIINV(1-(100-$D$23)/100/2,E70)</f>
        <v>37039.12364506672</v>
      </c>
      <c r="I77" s="13"/>
      <c r="U77" s="113" t="s">
        <v>51</v>
      </c>
      <c r="V77" s="14">
        <f>2*AG57^4/(V73-1)+1/AJ55^2*2*Y76^2/Y74</f>
        <v>129945.42358833889</v>
      </c>
      <c r="Y77" s="14">
        <f>2*Y76^2/Y74</f>
        <v>113.00398070988477</v>
      </c>
      <c r="Z77" s="14"/>
      <c r="AB77" s="36"/>
    </row>
    <row r="78" spans="1:28" x14ac:dyDescent="0.25">
      <c r="A78" s="14"/>
      <c r="B78" s="14"/>
      <c r="D78" s="113" t="s">
        <v>73</v>
      </c>
      <c r="E78" s="30">
        <f>E72</f>
        <v>17686.398990569636</v>
      </c>
      <c r="F78" s="30">
        <f>E72+NORMSINV((100-$D$23)/100/2)*E74</f>
        <v>8139.1400266420187</v>
      </c>
      <c r="G78" s="30">
        <f>E72-NORMSINV((100-$D$23)/100/2)*E74</f>
        <v>27233.657954497256</v>
      </c>
      <c r="I78" s="13"/>
      <c r="U78" s="175" t="s">
        <v>52</v>
      </c>
      <c r="V78" s="178">
        <f>SQRT(V77)</f>
        <v>360.47943573571416</v>
      </c>
      <c r="W78" s="178"/>
      <c r="X78" s="178"/>
      <c r="Y78" s="178">
        <f>SQRT(Y77)</f>
        <v>10.630333047928685</v>
      </c>
      <c r="Z78" s="14"/>
      <c r="AB78" s="36"/>
    </row>
    <row r="79" spans="1:28" x14ac:dyDescent="0.25">
      <c r="A79" s="14"/>
      <c r="B79" s="14"/>
      <c r="C79" s="14"/>
      <c r="D79" s="14"/>
      <c r="W79" s="14" t="s">
        <v>57</v>
      </c>
      <c r="X79" s="14" t="s">
        <v>58</v>
      </c>
      <c r="Z79" s="14"/>
      <c r="AB79" s="36"/>
    </row>
    <row r="80" spans="1:28" x14ac:dyDescent="0.25">
      <c r="A80" s="14"/>
      <c r="B80" s="14"/>
      <c r="C80" s="14"/>
      <c r="D80" s="14"/>
      <c r="U80" s="15" t="s">
        <v>66</v>
      </c>
      <c r="V80" s="35">
        <f>V75/V74/(Y75/Y74)</f>
        <v>110.17226624129704</v>
      </c>
      <c r="W80" s="176">
        <f>V80/FINV((1-$D$23/100)/2,V74,Y74)</f>
        <v>66.989036464878765</v>
      </c>
      <c r="X80" s="176">
        <f>V80*FINV((1-$D$23/100)/2,Y74,V74)</f>
        <v>210.77971534332366</v>
      </c>
      <c r="Z80" s="14"/>
      <c r="AB80" s="36"/>
    </row>
    <row r="81" spans="1:29" x14ac:dyDescent="0.25">
      <c r="A81" s="14"/>
      <c r="B81" s="14"/>
      <c r="C81" s="14"/>
      <c r="D81" s="14"/>
      <c r="U81" s="113" t="s">
        <v>71</v>
      </c>
      <c r="V81" s="35">
        <f>V76+Y76</f>
        <v>1201.8307843536688</v>
      </c>
      <c r="W81" s="30">
        <f>V74*V81/CHIINV((100-$D$23)/100/2,V74)</f>
        <v>757.53526609329731</v>
      </c>
      <c r="X81" s="14">
        <f>V74*V81/CHIINV(1-(100-$D$23)/100/2,V74)</f>
        <v>2257.0678478504983</v>
      </c>
      <c r="AB81" s="36"/>
    </row>
    <row r="82" spans="1:29" x14ac:dyDescent="0.25">
      <c r="A82" s="14"/>
      <c r="B82" s="14"/>
      <c r="C82" s="14"/>
      <c r="D82" s="14"/>
      <c r="U82" s="113" t="s">
        <v>73</v>
      </c>
      <c r="V82" s="35">
        <f>V76</f>
        <v>1100.9825902008254</v>
      </c>
      <c r="W82" s="14">
        <f>V76+NORMSINV((100-$D$23)/100/2)*V78</f>
        <v>508.04668288951564</v>
      </c>
      <c r="X82" s="14">
        <f>V76-NORMSINV((100-$D$23)/100/2)*V78</f>
        <v>1693.9184975121352</v>
      </c>
      <c r="Z82" s="14"/>
      <c r="AA82" s="14"/>
      <c r="AB82" s="36"/>
    </row>
    <row r="83" spans="1:29" x14ac:dyDescent="0.25">
      <c r="A83" s="14"/>
      <c r="B83" s="14"/>
      <c r="C83" s="14"/>
      <c r="D83" s="14"/>
      <c r="U83" s="113"/>
      <c r="V83" s="35"/>
      <c r="W83" s="14" t="s">
        <v>57</v>
      </c>
      <c r="X83" s="14" t="s">
        <v>58</v>
      </c>
      <c r="Z83" s="14"/>
      <c r="AA83" s="14"/>
      <c r="AB83" s="36"/>
    </row>
    <row r="84" spans="1:29" x14ac:dyDescent="0.25">
      <c r="A84" s="14"/>
      <c r="B84" s="14"/>
      <c r="C84" s="14"/>
      <c r="D84" s="14"/>
      <c r="U84" s="113" t="s">
        <v>65</v>
      </c>
      <c r="V84" s="35">
        <f>SQRT(V81)</f>
        <v>34.667431176158246</v>
      </c>
      <c r="W84" s="35">
        <f>SQRT(W81)</f>
        <v>27.523358554022749</v>
      </c>
      <c r="X84" s="35">
        <f>SQRT(X81)</f>
        <v>47.50860814474045</v>
      </c>
      <c r="Y84" s="35"/>
      <c r="Z84" s="14"/>
      <c r="AA84" s="14"/>
      <c r="AB84" s="36"/>
    </row>
    <row r="85" spans="1:29" x14ac:dyDescent="0.25">
      <c r="A85" s="14"/>
      <c r="B85" s="14"/>
      <c r="C85" s="14"/>
      <c r="D85" s="14"/>
      <c r="U85" s="113" t="s">
        <v>63</v>
      </c>
      <c r="V85" s="176">
        <f>IF(ISERROR(SQRT(V82)),-SQRT(-V82),SQRT(V82))</f>
        <v>33.181057701659022</v>
      </c>
      <c r="W85" s="176">
        <f>IF(ISERROR(SQRT(W82)),-SQRT(-W82),SQRT(W82))</f>
        <v>22.539890924525693</v>
      </c>
      <c r="X85" s="176">
        <f>IF(ISERROR(SQRT(X82)),-SQRT(-X82),SQRT(X82))</f>
        <v>41.157241130961815</v>
      </c>
      <c r="Z85" s="14"/>
      <c r="AA85" s="14"/>
      <c r="AB85" s="36"/>
    </row>
    <row r="86" spans="1:29" x14ac:dyDescent="0.25">
      <c r="U86" s="15" t="s">
        <v>61</v>
      </c>
      <c r="V86" s="35">
        <f>SQRT(Y76)</f>
        <v>10.042320157854139</v>
      </c>
      <c r="W86" s="35">
        <f>SQRT(Y74*V86^2/CHIINV((100-$D$23)/100/2,Y74))</f>
        <v>9.2467968496107407</v>
      </c>
      <c r="X86" s="35">
        <f>SQRT(Y74*V86^2/CHIINV(1-(100-$D$23)/100/2,Y74))</f>
        <v>11.001955821613109</v>
      </c>
      <c r="Z86" s="14"/>
      <c r="AA86" s="36"/>
      <c r="AB86" s="36"/>
    </row>
    <row r="87" spans="1:29" x14ac:dyDescent="0.25">
      <c r="A87" s="14"/>
      <c r="B87" s="14"/>
      <c r="C87" s="14"/>
      <c r="D87" s="14"/>
      <c r="U87" s="15" t="str">
        <f>"Error for mean of "&amp;W66&amp;" trials"</f>
        <v>Error for mean of 2 trials</v>
      </c>
      <c r="V87" s="35">
        <f>V86/SQRT(W66)</f>
        <v>7.1009926824650211</v>
      </c>
      <c r="W87" s="35">
        <f>W86/SQRT(W66)</f>
        <v>6.5384727566141585</v>
      </c>
      <c r="X87" s="35">
        <f>X86/SQRT(W66)</f>
        <v>7.7795575677774425</v>
      </c>
      <c r="Z87" s="14"/>
      <c r="AA87" s="36"/>
      <c r="AB87" s="36"/>
      <c r="AC87" s="36"/>
    </row>
    <row r="88" spans="1:29" x14ac:dyDescent="0.25">
      <c r="A88" s="14"/>
      <c r="B88" s="14"/>
      <c r="C88" s="14"/>
      <c r="D88" s="14"/>
      <c r="R88" s="13"/>
      <c r="S88" s="13"/>
      <c r="T88" s="13"/>
      <c r="X88" s="36"/>
      <c r="Y88" s="36"/>
      <c r="Z88" s="36"/>
      <c r="AA88" s="36"/>
      <c r="AB88" s="36"/>
      <c r="AC88" s="36"/>
    </row>
    <row r="89" spans="1:29" x14ac:dyDescent="0.25">
      <c r="D89" s="14"/>
      <c r="S89" s="13"/>
      <c r="X89" s="36"/>
      <c r="Y89" s="36"/>
      <c r="Z89" s="36"/>
      <c r="AA89" s="36"/>
      <c r="AB89" s="36"/>
      <c r="AC89" s="36"/>
    </row>
    <row r="90" spans="1:29" x14ac:dyDescent="0.25">
      <c r="X90" s="36"/>
      <c r="Y90" s="36"/>
      <c r="Z90" s="36"/>
      <c r="AA90" s="36"/>
      <c r="AB90" s="36"/>
      <c r="AC90" s="36"/>
    </row>
    <row r="91" spans="1:29" x14ac:dyDescent="0.25">
      <c r="X91" s="36"/>
      <c r="Y91" s="36"/>
      <c r="Z91" s="36"/>
      <c r="AA91" s="36"/>
      <c r="AB91" s="36"/>
      <c r="AC91" s="36"/>
    </row>
    <row r="92" spans="1:29" x14ac:dyDescent="0.25">
      <c r="X92" s="36"/>
      <c r="Y92" s="36"/>
      <c r="Z92" s="36"/>
      <c r="AA92" s="36"/>
      <c r="AB92" s="36"/>
      <c r="AC92" s="36"/>
    </row>
    <row r="93" spans="1:29" x14ac:dyDescent="0.25">
      <c r="X93" s="36"/>
      <c r="Y93" s="36"/>
      <c r="Z93" s="36"/>
      <c r="AA93" s="36"/>
      <c r="AB93" s="36"/>
      <c r="AC93" s="36"/>
    </row>
    <row r="94" spans="1:29" x14ac:dyDescent="0.25">
      <c r="X94" s="36"/>
      <c r="Y94" s="36"/>
      <c r="Z94" s="36"/>
      <c r="AA94" s="36"/>
      <c r="AB94" s="36"/>
      <c r="AC94" s="36"/>
    </row>
    <row r="95" spans="1:29" x14ac:dyDescent="0.25">
      <c r="X95" s="36"/>
      <c r="Y95" s="36"/>
      <c r="Z95" s="36"/>
      <c r="AA95" s="36"/>
      <c r="AB95" s="36"/>
      <c r="AC95" s="36"/>
    </row>
    <row r="96" spans="1:29" x14ac:dyDescent="0.25">
      <c r="X96" s="36"/>
      <c r="Y96" s="36"/>
      <c r="Z96" s="36"/>
      <c r="AA96" s="36"/>
      <c r="AB96" s="36"/>
      <c r="AC96" s="36"/>
    </row>
    <row r="97" spans="24:29" x14ac:dyDescent="0.25">
      <c r="X97" s="36"/>
      <c r="Y97" s="36"/>
      <c r="Z97" s="36"/>
      <c r="AA97" s="36"/>
      <c r="AB97" s="36"/>
      <c r="AC97" s="36"/>
    </row>
    <row r="98" spans="24:29" x14ac:dyDescent="0.25">
      <c r="X98" s="36"/>
      <c r="Y98" s="36"/>
      <c r="Z98" s="36"/>
      <c r="AA98" s="36"/>
      <c r="AB98" s="36"/>
      <c r="AC98" s="36"/>
    </row>
    <row r="99" spans="24:29" x14ac:dyDescent="0.25">
      <c r="X99" s="36"/>
      <c r="Z99" s="14"/>
      <c r="AA99" s="14"/>
      <c r="AB99" s="14"/>
      <c r="AC99" s="14"/>
    </row>
    <row r="100" spans="24:29" x14ac:dyDescent="0.25">
      <c r="Z100" s="14"/>
      <c r="AA100" s="14"/>
      <c r="AB100" s="14"/>
      <c r="AC100" s="14"/>
    </row>
    <row r="101" spans="24:29" x14ac:dyDescent="0.25">
      <c r="Z101" s="14"/>
      <c r="AA101" s="14"/>
      <c r="AB101" s="14"/>
      <c r="AC101" s="14"/>
    </row>
    <row r="102" spans="24:29" x14ac:dyDescent="0.25">
      <c r="Z102" s="14"/>
      <c r="AA102" s="14"/>
      <c r="AB102" s="14"/>
      <c r="AC102" s="14"/>
    </row>
    <row r="103" spans="24:29" x14ac:dyDescent="0.25">
      <c r="Z103" s="14"/>
      <c r="AA103" s="14"/>
      <c r="AB103" s="14"/>
      <c r="AC103" s="14"/>
    </row>
    <row r="104" spans="24:29" x14ac:dyDescent="0.25">
      <c r="Z104" s="14"/>
      <c r="AA104" s="14"/>
      <c r="AB104" s="14"/>
      <c r="AC104" s="14"/>
    </row>
    <row r="105" spans="24:29" x14ac:dyDescent="0.25">
      <c r="Z105" s="14"/>
      <c r="AA105" s="14"/>
      <c r="AB105" s="14"/>
      <c r="AC105" s="14"/>
    </row>
    <row r="106" spans="24:29" x14ac:dyDescent="0.25">
      <c r="Z106" s="14"/>
      <c r="AA106" s="14"/>
      <c r="AB106" s="14"/>
      <c r="AC106" s="14"/>
    </row>
    <row r="107" spans="24:29" x14ac:dyDescent="0.25">
      <c r="Z107" s="14"/>
      <c r="AA107" s="14"/>
      <c r="AB107" s="14"/>
      <c r="AC107" s="14"/>
    </row>
    <row r="108" spans="24:29" x14ac:dyDescent="0.25">
      <c r="Z108" s="14"/>
      <c r="AA108" s="14"/>
      <c r="AB108" s="14"/>
      <c r="AC108" s="14"/>
    </row>
    <row r="109" spans="24:29" x14ac:dyDescent="0.25">
      <c r="Z109" s="14"/>
      <c r="AA109" s="14"/>
      <c r="AB109" s="14"/>
      <c r="AC109" s="14"/>
    </row>
    <row r="110" spans="24:29" x14ac:dyDescent="0.25">
      <c r="Z110" s="14"/>
      <c r="AA110" s="14"/>
      <c r="AB110" s="14"/>
      <c r="AC110" s="14"/>
    </row>
    <row r="111" spans="24:29" x14ac:dyDescent="0.25">
      <c r="Z111" s="14"/>
      <c r="AA111" s="14"/>
      <c r="AB111" s="14"/>
      <c r="AC111" s="14"/>
    </row>
    <row r="112" spans="24:29" x14ac:dyDescent="0.25">
      <c r="Z112" s="14"/>
      <c r="AA112" s="14"/>
      <c r="AB112" s="14"/>
      <c r="AC112" s="14"/>
    </row>
    <row r="113" spans="26:29" x14ac:dyDescent="0.25">
      <c r="Z113" s="14"/>
      <c r="AA113" s="14"/>
      <c r="AB113" s="14"/>
      <c r="AC113" s="14"/>
    </row>
    <row r="114" spans="26:29" x14ac:dyDescent="0.25">
      <c r="Z114" s="14"/>
      <c r="AA114" s="14"/>
      <c r="AB114" s="14"/>
      <c r="AC114" s="14"/>
    </row>
    <row r="115" spans="26:29" x14ac:dyDescent="0.25">
      <c r="Z115" s="14"/>
      <c r="AA115" s="14"/>
      <c r="AB115" s="14"/>
      <c r="AC115" s="14"/>
    </row>
    <row r="116" spans="26:29" x14ac:dyDescent="0.25">
      <c r="Z116" s="14"/>
      <c r="AA116" s="14"/>
      <c r="AB116" s="14"/>
      <c r="AC116" s="14"/>
    </row>
    <row r="117" spans="26:29" x14ac:dyDescent="0.25">
      <c r="Z117" s="14"/>
      <c r="AA117" s="14"/>
      <c r="AB117" s="14"/>
      <c r="AC117" s="14"/>
    </row>
    <row r="118" spans="26:29" x14ac:dyDescent="0.25">
      <c r="Z118" s="14"/>
      <c r="AA118" s="14"/>
      <c r="AB118" s="14"/>
      <c r="AC118" s="14"/>
    </row>
    <row r="119" spans="26:29" x14ac:dyDescent="0.25">
      <c r="Z119" s="14"/>
      <c r="AA119" s="14"/>
      <c r="AB119" s="14"/>
      <c r="AC119" s="14"/>
    </row>
    <row r="120" spans="26:29" x14ac:dyDescent="0.25">
      <c r="Z120" s="14"/>
      <c r="AA120" s="14"/>
      <c r="AB120" s="14"/>
      <c r="AC120" s="14"/>
    </row>
    <row r="121" spans="26:29" x14ac:dyDescent="0.25">
      <c r="Z121" s="14"/>
      <c r="AA121" s="14"/>
      <c r="AB121" s="14"/>
      <c r="AC121" s="14"/>
    </row>
    <row r="122" spans="26:29" x14ac:dyDescent="0.25">
      <c r="Z122" s="14"/>
      <c r="AA122" s="14"/>
      <c r="AB122" s="14"/>
      <c r="AC122" s="14"/>
    </row>
    <row r="123" spans="26:29" x14ac:dyDescent="0.25">
      <c r="Z123" s="14"/>
      <c r="AA123" s="14"/>
      <c r="AB123" s="14"/>
      <c r="AC123" s="14"/>
    </row>
    <row r="124" spans="26:29" x14ac:dyDescent="0.25">
      <c r="Z124" s="14"/>
      <c r="AA124" s="14"/>
      <c r="AB124" s="14"/>
      <c r="AC124" s="14"/>
    </row>
    <row r="125" spans="26:29" x14ac:dyDescent="0.25">
      <c r="Z125" s="14"/>
      <c r="AA125" s="14"/>
      <c r="AB125" s="14"/>
      <c r="AC125" s="14"/>
    </row>
    <row r="126" spans="26:29" x14ac:dyDescent="0.25">
      <c r="Z126" s="14"/>
      <c r="AA126" s="14"/>
      <c r="AB126" s="14"/>
      <c r="AC126" s="14"/>
    </row>
    <row r="127" spans="26:29" x14ac:dyDescent="0.25">
      <c r="Z127" s="14"/>
      <c r="AA127" s="14"/>
      <c r="AB127" s="14"/>
      <c r="AC127" s="14"/>
    </row>
    <row r="128" spans="26:29" x14ac:dyDescent="0.25">
      <c r="Z128" s="14"/>
      <c r="AA128" s="14"/>
      <c r="AB128" s="14"/>
      <c r="AC128" s="14"/>
    </row>
    <row r="129" spans="26:29" x14ac:dyDescent="0.25">
      <c r="Z129" s="14"/>
      <c r="AA129" s="14"/>
      <c r="AB129" s="14"/>
      <c r="AC129" s="14"/>
    </row>
    <row r="130" spans="26:29" x14ac:dyDescent="0.25">
      <c r="Z130" s="14"/>
      <c r="AA130" s="14"/>
      <c r="AB130" s="14"/>
      <c r="AC130" s="14"/>
    </row>
    <row r="131" spans="26:29" x14ac:dyDescent="0.25">
      <c r="Z131" s="14"/>
      <c r="AA131" s="14"/>
      <c r="AB131" s="14"/>
      <c r="AC131" s="14"/>
    </row>
    <row r="132" spans="26:29" x14ac:dyDescent="0.25">
      <c r="Z132" s="14"/>
      <c r="AA132" s="14"/>
      <c r="AB132" s="14"/>
      <c r="AC132" s="14"/>
    </row>
    <row r="133" spans="26:29" x14ac:dyDescent="0.25">
      <c r="Z133" s="14"/>
      <c r="AA133" s="14"/>
      <c r="AB133" s="14"/>
      <c r="AC133" s="14"/>
    </row>
    <row r="134" spans="26:29" x14ac:dyDescent="0.25">
      <c r="Z134" s="14"/>
      <c r="AA134" s="14"/>
      <c r="AB134" s="14"/>
      <c r="AC134" s="14"/>
    </row>
    <row r="135" spans="26:29" x14ac:dyDescent="0.25">
      <c r="Z135" s="14"/>
      <c r="AA135" s="14"/>
      <c r="AB135" s="14"/>
      <c r="AC135" s="14"/>
    </row>
    <row r="136" spans="26:29" x14ac:dyDescent="0.25">
      <c r="Z136" s="14"/>
      <c r="AA136" s="14"/>
      <c r="AB136" s="14"/>
      <c r="AC136" s="14"/>
    </row>
    <row r="137" spans="26:29" x14ac:dyDescent="0.25">
      <c r="Z137" s="14"/>
      <c r="AA137" s="14"/>
      <c r="AB137" s="14"/>
      <c r="AC137" s="14"/>
    </row>
    <row r="138" spans="26:29" x14ac:dyDescent="0.25">
      <c r="Z138" s="14"/>
      <c r="AA138" s="14"/>
      <c r="AB138" s="14"/>
      <c r="AC138" s="14"/>
    </row>
  </sheetData>
  <mergeCells count="1">
    <mergeCell ref="B2:C2"/>
  </mergeCells>
  <pageMargins left="0.75" right="0.75" top="1" bottom="1" header="0.5" footer="0.5"/>
  <pageSetup paperSize="9" orientation="portrait" horizontalDpi="1200" verticalDpi="1200"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97"/>
  <sheetViews>
    <sheetView zoomScale="85" zoomScaleNormal="85" workbookViewId="0"/>
  </sheetViews>
  <sheetFormatPr defaultRowHeight="13.2" x14ac:dyDescent="0.25"/>
  <cols>
    <col min="1" max="1" width="2.33203125" style="13" customWidth="1"/>
    <col min="2" max="2" width="19" style="13" customWidth="1"/>
    <col min="3" max="3" width="7.109375" style="13" customWidth="1"/>
    <col min="4" max="4" width="7.88671875" style="13" customWidth="1"/>
    <col min="5" max="14" width="7.88671875" style="14" customWidth="1"/>
    <col min="15" max="17" width="6.6640625" style="14" customWidth="1"/>
    <col min="18" max="18" width="7.33203125" style="14" customWidth="1"/>
    <col min="19" max="19" width="6.6640625" style="14" customWidth="1"/>
    <col min="20" max="20" width="8.33203125" style="14" customWidth="1"/>
    <col min="21" max="21" width="6.6640625" style="14" customWidth="1"/>
    <col min="22" max="24" width="7.5546875" style="14" customWidth="1"/>
    <col min="25" max="25" width="6.6640625" style="14" customWidth="1"/>
    <col min="26" max="256" width="8.88671875" style="13"/>
    <col min="257" max="257" width="2.33203125" style="13" customWidth="1"/>
    <col min="258" max="258" width="19" style="13" customWidth="1"/>
    <col min="259" max="259" width="7.109375" style="13" customWidth="1"/>
    <col min="260" max="270" width="7.88671875" style="13" customWidth="1"/>
    <col min="271" max="273" width="6.6640625" style="13" customWidth="1"/>
    <col min="274" max="274" width="7.33203125" style="13" customWidth="1"/>
    <col min="275" max="275" width="6.6640625" style="13" customWidth="1"/>
    <col min="276" max="276" width="8.33203125" style="13" customWidth="1"/>
    <col min="277" max="277" width="6.6640625" style="13" customWidth="1"/>
    <col min="278" max="280" width="7.5546875" style="13" customWidth="1"/>
    <col min="281" max="281" width="6.6640625" style="13" customWidth="1"/>
    <col min="282" max="512" width="8.88671875" style="13"/>
    <col min="513" max="513" width="2.33203125" style="13" customWidth="1"/>
    <col min="514" max="514" width="19" style="13" customWidth="1"/>
    <col min="515" max="515" width="7.109375" style="13" customWidth="1"/>
    <col min="516" max="526" width="7.88671875" style="13" customWidth="1"/>
    <col min="527" max="529" width="6.6640625" style="13" customWidth="1"/>
    <col min="530" max="530" width="7.33203125" style="13" customWidth="1"/>
    <col min="531" max="531" width="6.6640625" style="13" customWidth="1"/>
    <col min="532" max="532" width="8.33203125" style="13" customWidth="1"/>
    <col min="533" max="533" width="6.6640625" style="13" customWidth="1"/>
    <col min="534" max="536" width="7.5546875" style="13" customWidth="1"/>
    <col min="537" max="537" width="6.6640625" style="13" customWidth="1"/>
    <col min="538" max="768" width="8.88671875" style="13"/>
    <col min="769" max="769" width="2.33203125" style="13" customWidth="1"/>
    <col min="770" max="770" width="19" style="13" customWidth="1"/>
    <col min="771" max="771" width="7.109375" style="13" customWidth="1"/>
    <col min="772" max="782" width="7.88671875" style="13" customWidth="1"/>
    <col min="783" max="785" width="6.6640625" style="13" customWidth="1"/>
    <col min="786" max="786" width="7.33203125" style="13" customWidth="1"/>
    <col min="787" max="787" width="6.6640625" style="13" customWidth="1"/>
    <col min="788" max="788" width="8.33203125" style="13" customWidth="1"/>
    <col min="789" max="789" width="6.6640625" style="13" customWidth="1"/>
    <col min="790" max="792" width="7.5546875" style="13" customWidth="1"/>
    <col min="793" max="793" width="6.6640625" style="13" customWidth="1"/>
    <col min="794" max="1024" width="8.88671875" style="13"/>
    <col min="1025" max="1025" width="2.33203125" style="13" customWidth="1"/>
    <col min="1026" max="1026" width="19" style="13" customWidth="1"/>
    <col min="1027" max="1027" width="7.109375" style="13" customWidth="1"/>
    <col min="1028" max="1038" width="7.88671875" style="13" customWidth="1"/>
    <col min="1039" max="1041" width="6.6640625" style="13" customWidth="1"/>
    <col min="1042" max="1042" width="7.33203125" style="13" customWidth="1"/>
    <col min="1043" max="1043" width="6.6640625" style="13" customWidth="1"/>
    <col min="1044" max="1044" width="8.33203125" style="13" customWidth="1"/>
    <col min="1045" max="1045" width="6.6640625" style="13" customWidth="1"/>
    <col min="1046" max="1048" width="7.5546875" style="13" customWidth="1"/>
    <col min="1049" max="1049" width="6.6640625" style="13" customWidth="1"/>
    <col min="1050" max="1280" width="8.88671875" style="13"/>
    <col min="1281" max="1281" width="2.33203125" style="13" customWidth="1"/>
    <col min="1282" max="1282" width="19" style="13" customWidth="1"/>
    <col min="1283" max="1283" width="7.109375" style="13" customWidth="1"/>
    <col min="1284" max="1294" width="7.88671875" style="13" customWidth="1"/>
    <col min="1295" max="1297" width="6.6640625" style="13" customWidth="1"/>
    <col min="1298" max="1298" width="7.33203125" style="13" customWidth="1"/>
    <col min="1299" max="1299" width="6.6640625" style="13" customWidth="1"/>
    <col min="1300" max="1300" width="8.33203125" style="13" customWidth="1"/>
    <col min="1301" max="1301" width="6.6640625" style="13" customWidth="1"/>
    <col min="1302" max="1304" width="7.5546875" style="13" customWidth="1"/>
    <col min="1305" max="1305" width="6.6640625" style="13" customWidth="1"/>
    <col min="1306" max="1536" width="8.88671875" style="13"/>
    <col min="1537" max="1537" width="2.33203125" style="13" customWidth="1"/>
    <col min="1538" max="1538" width="19" style="13" customWidth="1"/>
    <col min="1539" max="1539" width="7.109375" style="13" customWidth="1"/>
    <col min="1540" max="1550" width="7.88671875" style="13" customWidth="1"/>
    <col min="1551" max="1553" width="6.6640625" style="13" customWidth="1"/>
    <col min="1554" max="1554" width="7.33203125" style="13" customWidth="1"/>
    <col min="1555" max="1555" width="6.6640625" style="13" customWidth="1"/>
    <col min="1556" max="1556" width="8.33203125" style="13" customWidth="1"/>
    <col min="1557" max="1557" width="6.6640625" style="13" customWidth="1"/>
    <col min="1558" max="1560" width="7.5546875" style="13" customWidth="1"/>
    <col min="1561" max="1561" width="6.6640625" style="13" customWidth="1"/>
    <col min="1562" max="1792" width="8.88671875" style="13"/>
    <col min="1793" max="1793" width="2.33203125" style="13" customWidth="1"/>
    <col min="1794" max="1794" width="19" style="13" customWidth="1"/>
    <col min="1795" max="1795" width="7.109375" style="13" customWidth="1"/>
    <col min="1796" max="1806" width="7.88671875" style="13" customWidth="1"/>
    <col min="1807" max="1809" width="6.6640625" style="13" customWidth="1"/>
    <col min="1810" max="1810" width="7.33203125" style="13" customWidth="1"/>
    <col min="1811" max="1811" width="6.6640625" style="13" customWidth="1"/>
    <col min="1812" max="1812" width="8.33203125" style="13" customWidth="1"/>
    <col min="1813" max="1813" width="6.6640625" style="13" customWidth="1"/>
    <col min="1814" max="1816" width="7.5546875" style="13" customWidth="1"/>
    <col min="1817" max="1817" width="6.6640625" style="13" customWidth="1"/>
    <col min="1818" max="2048" width="8.88671875" style="13"/>
    <col min="2049" max="2049" width="2.33203125" style="13" customWidth="1"/>
    <col min="2050" max="2050" width="19" style="13" customWidth="1"/>
    <col min="2051" max="2051" width="7.109375" style="13" customWidth="1"/>
    <col min="2052" max="2062" width="7.88671875" style="13" customWidth="1"/>
    <col min="2063" max="2065" width="6.6640625" style="13" customWidth="1"/>
    <col min="2066" max="2066" width="7.33203125" style="13" customWidth="1"/>
    <col min="2067" max="2067" width="6.6640625" style="13" customWidth="1"/>
    <col min="2068" max="2068" width="8.33203125" style="13" customWidth="1"/>
    <col min="2069" max="2069" width="6.6640625" style="13" customWidth="1"/>
    <col min="2070" max="2072" width="7.5546875" style="13" customWidth="1"/>
    <col min="2073" max="2073" width="6.6640625" style="13" customWidth="1"/>
    <col min="2074" max="2304" width="8.88671875" style="13"/>
    <col min="2305" max="2305" width="2.33203125" style="13" customWidth="1"/>
    <col min="2306" max="2306" width="19" style="13" customWidth="1"/>
    <col min="2307" max="2307" width="7.109375" style="13" customWidth="1"/>
    <col min="2308" max="2318" width="7.88671875" style="13" customWidth="1"/>
    <col min="2319" max="2321" width="6.6640625" style="13" customWidth="1"/>
    <col min="2322" max="2322" width="7.33203125" style="13" customWidth="1"/>
    <col min="2323" max="2323" width="6.6640625" style="13" customWidth="1"/>
    <col min="2324" max="2324" width="8.33203125" style="13" customWidth="1"/>
    <col min="2325" max="2325" width="6.6640625" style="13" customWidth="1"/>
    <col min="2326" max="2328" width="7.5546875" style="13" customWidth="1"/>
    <col min="2329" max="2329" width="6.6640625" style="13" customWidth="1"/>
    <col min="2330" max="2560" width="8.88671875" style="13"/>
    <col min="2561" max="2561" width="2.33203125" style="13" customWidth="1"/>
    <col min="2562" max="2562" width="19" style="13" customWidth="1"/>
    <col min="2563" max="2563" width="7.109375" style="13" customWidth="1"/>
    <col min="2564" max="2574" width="7.88671875" style="13" customWidth="1"/>
    <col min="2575" max="2577" width="6.6640625" style="13" customWidth="1"/>
    <col min="2578" max="2578" width="7.33203125" style="13" customWidth="1"/>
    <col min="2579" max="2579" width="6.6640625" style="13" customWidth="1"/>
    <col min="2580" max="2580" width="8.33203125" style="13" customWidth="1"/>
    <col min="2581" max="2581" width="6.6640625" style="13" customWidth="1"/>
    <col min="2582" max="2584" width="7.5546875" style="13" customWidth="1"/>
    <col min="2585" max="2585" width="6.6640625" style="13" customWidth="1"/>
    <col min="2586" max="2816" width="8.88671875" style="13"/>
    <col min="2817" max="2817" width="2.33203125" style="13" customWidth="1"/>
    <col min="2818" max="2818" width="19" style="13" customWidth="1"/>
    <col min="2819" max="2819" width="7.109375" style="13" customWidth="1"/>
    <col min="2820" max="2830" width="7.88671875" style="13" customWidth="1"/>
    <col min="2831" max="2833" width="6.6640625" style="13" customWidth="1"/>
    <col min="2834" max="2834" width="7.33203125" style="13" customWidth="1"/>
    <col min="2835" max="2835" width="6.6640625" style="13" customWidth="1"/>
    <col min="2836" max="2836" width="8.33203125" style="13" customWidth="1"/>
    <col min="2837" max="2837" width="6.6640625" style="13" customWidth="1"/>
    <col min="2838" max="2840" width="7.5546875" style="13" customWidth="1"/>
    <col min="2841" max="2841" width="6.6640625" style="13" customWidth="1"/>
    <col min="2842" max="3072" width="8.88671875" style="13"/>
    <col min="3073" max="3073" width="2.33203125" style="13" customWidth="1"/>
    <col min="3074" max="3074" width="19" style="13" customWidth="1"/>
    <col min="3075" max="3075" width="7.109375" style="13" customWidth="1"/>
    <col min="3076" max="3086" width="7.88671875" style="13" customWidth="1"/>
    <col min="3087" max="3089" width="6.6640625" style="13" customWidth="1"/>
    <col min="3090" max="3090" width="7.33203125" style="13" customWidth="1"/>
    <col min="3091" max="3091" width="6.6640625" style="13" customWidth="1"/>
    <col min="3092" max="3092" width="8.33203125" style="13" customWidth="1"/>
    <col min="3093" max="3093" width="6.6640625" style="13" customWidth="1"/>
    <col min="3094" max="3096" width="7.5546875" style="13" customWidth="1"/>
    <col min="3097" max="3097" width="6.6640625" style="13" customWidth="1"/>
    <col min="3098" max="3328" width="8.88671875" style="13"/>
    <col min="3329" max="3329" width="2.33203125" style="13" customWidth="1"/>
    <col min="3330" max="3330" width="19" style="13" customWidth="1"/>
    <col min="3331" max="3331" width="7.109375" style="13" customWidth="1"/>
    <col min="3332" max="3342" width="7.88671875" style="13" customWidth="1"/>
    <col min="3343" max="3345" width="6.6640625" style="13" customWidth="1"/>
    <col min="3346" max="3346" width="7.33203125" style="13" customWidth="1"/>
    <col min="3347" max="3347" width="6.6640625" style="13" customWidth="1"/>
    <col min="3348" max="3348" width="8.33203125" style="13" customWidth="1"/>
    <col min="3349" max="3349" width="6.6640625" style="13" customWidth="1"/>
    <col min="3350" max="3352" width="7.5546875" style="13" customWidth="1"/>
    <col min="3353" max="3353" width="6.6640625" style="13" customWidth="1"/>
    <col min="3354" max="3584" width="8.88671875" style="13"/>
    <col min="3585" max="3585" width="2.33203125" style="13" customWidth="1"/>
    <col min="3586" max="3586" width="19" style="13" customWidth="1"/>
    <col min="3587" max="3587" width="7.109375" style="13" customWidth="1"/>
    <col min="3588" max="3598" width="7.88671875" style="13" customWidth="1"/>
    <col min="3599" max="3601" width="6.6640625" style="13" customWidth="1"/>
    <col min="3602" max="3602" width="7.33203125" style="13" customWidth="1"/>
    <col min="3603" max="3603" width="6.6640625" style="13" customWidth="1"/>
    <col min="3604" max="3604" width="8.33203125" style="13" customWidth="1"/>
    <col min="3605" max="3605" width="6.6640625" style="13" customWidth="1"/>
    <col min="3606" max="3608" width="7.5546875" style="13" customWidth="1"/>
    <col min="3609" max="3609" width="6.6640625" style="13" customWidth="1"/>
    <col min="3610" max="3840" width="8.88671875" style="13"/>
    <col min="3841" max="3841" width="2.33203125" style="13" customWidth="1"/>
    <col min="3842" max="3842" width="19" style="13" customWidth="1"/>
    <col min="3843" max="3843" width="7.109375" style="13" customWidth="1"/>
    <col min="3844" max="3854" width="7.88671875" style="13" customWidth="1"/>
    <col min="3855" max="3857" width="6.6640625" style="13" customWidth="1"/>
    <col min="3858" max="3858" width="7.33203125" style="13" customWidth="1"/>
    <col min="3859" max="3859" width="6.6640625" style="13" customWidth="1"/>
    <col min="3860" max="3860" width="8.33203125" style="13" customWidth="1"/>
    <col min="3861" max="3861" width="6.6640625" style="13" customWidth="1"/>
    <col min="3862" max="3864" width="7.5546875" style="13" customWidth="1"/>
    <col min="3865" max="3865" width="6.6640625" style="13" customWidth="1"/>
    <col min="3866" max="4096" width="8.88671875" style="13"/>
    <col min="4097" max="4097" width="2.33203125" style="13" customWidth="1"/>
    <col min="4098" max="4098" width="19" style="13" customWidth="1"/>
    <col min="4099" max="4099" width="7.109375" style="13" customWidth="1"/>
    <col min="4100" max="4110" width="7.88671875" style="13" customWidth="1"/>
    <col min="4111" max="4113" width="6.6640625" style="13" customWidth="1"/>
    <col min="4114" max="4114" width="7.33203125" style="13" customWidth="1"/>
    <col min="4115" max="4115" width="6.6640625" style="13" customWidth="1"/>
    <col min="4116" max="4116" width="8.33203125" style="13" customWidth="1"/>
    <col min="4117" max="4117" width="6.6640625" style="13" customWidth="1"/>
    <col min="4118" max="4120" width="7.5546875" style="13" customWidth="1"/>
    <col min="4121" max="4121" width="6.6640625" style="13" customWidth="1"/>
    <col min="4122" max="4352" width="8.88671875" style="13"/>
    <col min="4353" max="4353" width="2.33203125" style="13" customWidth="1"/>
    <col min="4354" max="4354" width="19" style="13" customWidth="1"/>
    <col min="4355" max="4355" width="7.109375" style="13" customWidth="1"/>
    <col min="4356" max="4366" width="7.88671875" style="13" customWidth="1"/>
    <col min="4367" max="4369" width="6.6640625" style="13" customWidth="1"/>
    <col min="4370" max="4370" width="7.33203125" style="13" customWidth="1"/>
    <col min="4371" max="4371" width="6.6640625" style="13" customWidth="1"/>
    <col min="4372" max="4372" width="8.33203125" style="13" customWidth="1"/>
    <col min="4373" max="4373" width="6.6640625" style="13" customWidth="1"/>
    <col min="4374" max="4376" width="7.5546875" style="13" customWidth="1"/>
    <col min="4377" max="4377" width="6.6640625" style="13" customWidth="1"/>
    <col min="4378" max="4608" width="8.88671875" style="13"/>
    <col min="4609" max="4609" width="2.33203125" style="13" customWidth="1"/>
    <col min="4610" max="4610" width="19" style="13" customWidth="1"/>
    <col min="4611" max="4611" width="7.109375" style="13" customWidth="1"/>
    <col min="4612" max="4622" width="7.88671875" style="13" customWidth="1"/>
    <col min="4623" max="4625" width="6.6640625" style="13" customWidth="1"/>
    <col min="4626" max="4626" width="7.33203125" style="13" customWidth="1"/>
    <col min="4627" max="4627" width="6.6640625" style="13" customWidth="1"/>
    <col min="4628" max="4628" width="8.33203125" style="13" customWidth="1"/>
    <col min="4629" max="4629" width="6.6640625" style="13" customWidth="1"/>
    <col min="4630" max="4632" width="7.5546875" style="13" customWidth="1"/>
    <col min="4633" max="4633" width="6.6640625" style="13" customWidth="1"/>
    <col min="4634" max="4864" width="8.88671875" style="13"/>
    <col min="4865" max="4865" width="2.33203125" style="13" customWidth="1"/>
    <col min="4866" max="4866" width="19" style="13" customWidth="1"/>
    <col min="4867" max="4867" width="7.109375" style="13" customWidth="1"/>
    <col min="4868" max="4878" width="7.88671875" style="13" customWidth="1"/>
    <col min="4879" max="4881" width="6.6640625" style="13" customWidth="1"/>
    <col min="4882" max="4882" width="7.33203125" style="13" customWidth="1"/>
    <col min="4883" max="4883" width="6.6640625" style="13" customWidth="1"/>
    <col min="4884" max="4884" width="8.33203125" style="13" customWidth="1"/>
    <col min="4885" max="4885" width="6.6640625" style="13" customWidth="1"/>
    <col min="4886" max="4888" width="7.5546875" style="13" customWidth="1"/>
    <col min="4889" max="4889" width="6.6640625" style="13" customWidth="1"/>
    <col min="4890" max="5120" width="8.88671875" style="13"/>
    <col min="5121" max="5121" width="2.33203125" style="13" customWidth="1"/>
    <col min="5122" max="5122" width="19" style="13" customWidth="1"/>
    <col min="5123" max="5123" width="7.109375" style="13" customWidth="1"/>
    <col min="5124" max="5134" width="7.88671875" style="13" customWidth="1"/>
    <col min="5135" max="5137" width="6.6640625" style="13" customWidth="1"/>
    <col min="5138" max="5138" width="7.33203125" style="13" customWidth="1"/>
    <col min="5139" max="5139" width="6.6640625" style="13" customWidth="1"/>
    <col min="5140" max="5140" width="8.33203125" style="13" customWidth="1"/>
    <col min="5141" max="5141" width="6.6640625" style="13" customWidth="1"/>
    <col min="5142" max="5144" width="7.5546875" style="13" customWidth="1"/>
    <col min="5145" max="5145" width="6.6640625" style="13" customWidth="1"/>
    <col min="5146" max="5376" width="8.88671875" style="13"/>
    <col min="5377" max="5377" width="2.33203125" style="13" customWidth="1"/>
    <col min="5378" max="5378" width="19" style="13" customWidth="1"/>
    <col min="5379" max="5379" width="7.109375" style="13" customWidth="1"/>
    <col min="5380" max="5390" width="7.88671875" style="13" customWidth="1"/>
    <col min="5391" max="5393" width="6.6640625" style="13" customWidth="1"/>
    <col min="5394" max="5394" width="7.33203125" style="13" customWidth="1"/>
    <col min="5395" max="5395" width="6.6640625" style="13" customWidth="1"/>
    <col min="5396" max="5396" width="8.33203125" style="13" customWidth="1"/>
    <col min="5397" max="5397" width="6.6640625" style="13" customWidth="1"/>
    <col min="5398" max="5400" width="7.5546875" style="13" customWidth="1"/>
    <col min="5401" max="5401" width="6.6640625" style="13" customWidth="1"/>
    <col min="5402" max="5632" width="8.88671875" style="13"/>
    <col min="5633" max="5633" width="2.33203125" style="13" customWidth="1"/>
    <col min="5634" max="5634" width="19" style="13" customWidth="1"/>
    <col min="5635" max="5635" width="7.109375" style="13" customWidth="1"/>
    <col min="5636" max="5646" width="7.88671875" style="13" customWidth="1"/>
    <col min="5647" max="5649" width="6.6640625" style="13" customWidth="1"/>
    <col min="5650" max="5650" width="7.33203125" style="13" customWidth="1"/>
    <col min="5651" max="5651" width="6.6640625" style="13" customWidth="1"/>
    <col min="5652" max="5652" width="8.33203125" style="13" customWidth="1"/>
    <col min="5653" max="5653" width="6.6640625" style="13" customWidth="1"/>
    <col min="5654" max="5656" width="7.5546875" style="13" customWidth="1"/>
    <col min="5657" max="5657" width="6.6640625" style="13" customWidth="1"/>
    <col min="5658" max="5888" width="8.88671875" style="13"/>
    <col min="5889" max="5889" width="2.33203125" style="13" customWidth="1"/>
    <col min="5890" max="5890" width="19" style="13" customWidth="1"/>
    <col min="5891" max="5891" width="7.109375" style="13" customWidth="1"/>
    <col min="5892" max="5902" width="7.88671875" style="13" customWidth="1"/>
    <col min="5903" max="5905" width="6.6640625" style="13" customWidth="1"/>
    <col min="5906" max="5906" width="7.33203125" style="13" customWidth="1"/>
    <col min="5907" max="5907" width="6.6640625" style="13" customWidth="1"/>
    <col min="5908" max="5908" width="8.33203125" style="13" customWidth="1"/>
    <col min="5909" max="5909" width="6.6640625" style="13" customWidth="1"/>
    <col min="5910" max="5912" width="7.5546875" style="13" customWidth="1"/>
    <col min="5913" max="5913" width="6.6640625" style="13" customWidth="1"/>
    <col min="5914" max="6144" width="8.88671875" style="13"/>
    <col min="6145" max="6145" width="2.33203125" style="13" customWidth="1"/>
    <col min="6146" max="6146" width="19" style="13" customWidth="1"/>
    <col min="6147" max="6147" width="7.109375" style="13" customWidth="1"/>
    <col min="6148" max="6158" width="7.88671875" style="13" customWidth="1"/>
    <col min="6159" max="6161" width="6.6640625" style="13" customWidth="1"/>
    <col min="6162" max="6162" width="7.33203125" style="13" customWidth="1"/>
    <col min="6163" max="6163" width="6.6640625" style="13" customWidth="1"/>
    <col min="6164" max="6164" width="8.33203125" style="13" customWidth="1"/>
    <col min="6165" max="6165" width="6.6640625" style="13" customWidth="1"/>
    <col min="6166" max="6168" width="7.5546875" style="13" customWidth="1"/>
    <col min="6169" max="6169" width="6.6640625" style="13" customWidth="1"/>
    <col min="6170" max="6400" width="8.88671875" style="13"/>
    <col min="6401" max="6401" width="2.33203125" style="13" customWidth="1"/>
    <col min="6402" max="6402" width="19" style="13" customWidth="1"/>
    <col min="6403" max="6403" width="7.109375" style="13" customWidth="1"/>
    <col min="6404" max="6414" width="7.88671875" style="13" customWidth="1"/>
    <col min="6415" max="6417" width="6.6640625" style="13" customWidth="1"/>
    <col min="6418" max="6418" width="7.33203125" style="13" customWidth="1"/>
    <col min="6419" max="6419" width="6.6640625" style="13" customWidth="1"/>
    <col min="6420" max="6420" width="8.33203125" style="13" customWidth="1"/>
    <col min="6421" max="6421" width="6.6640625" style="13" customWidth="1"/>
    <col min="6422" max="6424" width="7.5546875" style="13" customWidth="1"/>
    <col min="6425" max="6425" width="6.6640625" style="13" customWidth="1"/>
    <col min="6426" max="6656" width="8.88671875" style="13"/>
    <col min="6657" max="6657" width="2.33203125" style="13" customWidth="1"/>
    <col min="6658" max="6658" width="19" style="13" customWidth="1"/>
    <col min="6659" max="6659" width="7.109375" style="13" customWidth="1"/>
    <col min="6660" max="6670" width="7.88671875" style="13" customWidth="1"/>
    <col min="6671" max="6673" width="6.6640625" style="13" customWidth="1"/>
    <col min="6674" max="6674" width="7.33203125" style="13" customWidth="1"/>
    <col min="6675" max="6675" width="6.6640625" style="13" customWidth="1"/>
    <col min="6676" max="6676" width="8.33203125" style="13" customWidth="1"/>
    <col min="6677" max="6677" width="6.6640625" style="13" customWidth="1"/>
    <col min="6678" max="6680" width="7.5546875" style="13" customWidth="1"/>
    <col min="6681" max="6681" width="6.6640625" style="13" customWidth="1"/>
    <col min="6682" max="6912" width="8.88671875" style="13"/>
    <col min="6913" max="6913" width="2.33203125" style="13" customWidth="1"/>
    <col min="6914" max="6914" width="19" style="13" customWidth="1"/>
    <col min="6915" max="6915" width="7.109375" style="13" customWidth="1"/>
    <col min="6916" max="6926" width="7.88671875" style="13" customWidth="1"/>
    <col min="6927" max="6929" width="6.6640625" style="13" customWidth="1"/>
    <col min="6930" max="6930" width="7.33203125" style="13" customWidth="1"/>
    <col min="6931" max="6931" width="6.6640625" style="13" customWidth="1"/>
    <col min="6932" max="6932" width="8.33203125" style="13" customWidth="1"/>
    <col min="6933" max="6933" width="6.6640625" style="13" customWidth="1"/>
    <col min="6934" max="6936" width="7.5546875" style="13" customWidth="1"/>
    <col min="6937" max="6937" width="6.6640625" style="13" customWidth="1"/>
    <col min="6938" max="7168" width="8.88671875" style="13"/>
    <col min="7169" max="7169" width="2.33203125" style="13" customWidth="1"/>
    <col min="7170" max="7170" width="19" style="13" customWidth="1"/>
    <col min="7171" max="7171" width="7.109375" style="13" customWidth="1"/>
    <col min="7172" max="7182" width="7.88671875" style="13" customWidth="1"/>
    <col min="7183" max="7185" width="6.6640625" style="13" customWidth="1"/>
    <col min="7186" max="7186" width="7.33203125" style="13" customWidth="1"/>
    <col min="7187" max="7187" width="6.6640625" style="13" customWidth="1"/>
    <col min="7188" max="7188" width="8.33203125" style="13" customWidth="1"/>
    <col min="7189" max="7189" width="6.6640625" style="13" customWidth="1"/>
    <col min="7190" max="7192" width="7.5546875" style="13" customWidth="1"/>
    <col min="7193" max="7193" width="6.6640625" style="13" customWidth="1"/>
    <col min="7194" max="7424" width="8.88671875" style="13"/>
    <col min="7425" max="7425" width="2.33203125" style="13" customWidth="1"/>
    <col min="7426" max="7426" width="19" style="13" customWidth="1"/>
    <col min="7427" max="7427" width="7.109375" style="13" customWidth="1"/>
    <col min="7428" max="7438" width="7.88671875" style="13" customWidth="1"/>
    <col min="7439" max="7441" width="6.6640625" style="13" customWidth="1"/>
    <col min="7442" max="7442" width="7.33203125" style="13" customWidth="1"/>
    <col min="7443" max="7443" width="6.6640625" style="13" customWidth="1"/>
    <col min="7444" max="7444" width="8.33203125" style="13" customWidth="1"/>
    <col min="7445" max="7445" width="6.6640625" style="13" customWidth="1"/>
    <col min="7446" max="7448" width="7.5546875" style="13" customWidth="1"/>
    <col min="7449" max="7449" width="6.6640625" style="13" customWidth="1"/>
    <col min="7450" max="7680" width="8.88671875" style="13"/>
    <col min="7681" max="7681" width="2.33203125" style="13" customWidth="1"/>
    <col min="7682" max="7682" width="19" style="13" customWidth="1"/>
    <col min="7683" max="7683" width="7.109375" style="13" customWidth="1"/>
    <col min="7684" max="7694" width="7.88671875" style="13" customWidth="1"/>
    <col min="7695" max="7697" width="6.6640625" style="13" customWidth="1"/>
    <col min="7698" max="7698" width="7.33203125" style="13" customWidth="1"/>
    <col min="7699" max="7699" width="6.6640625" style="13" customWidth="1"/>
    <col min="7700" max="7700" width="8.33203125" style="13" customWidth="1"/>
    <col min="7701" max="7701" width="6.6640625" style="13" customWidth="1"/>
    <col min="7702" max="7704" width="7.5546875" style="13" customWidth="1"/>
    <col min="7705" max="7705" width="6.6640625" style="13" customWidth="1"/>
    <col min="7706" max="7936" width="8.88671875" style="13"/>
    <col min="7937" max="7937" width="2.33203125" style="13" customWidth="1"/>
    <col min="7938" max="7938" width="19" style="13" customWidth="1"/>
    <col min="7939" max="7939" width="7.109375" style="13" customWidth="1"/>
    <col min="7940" max="7950" width="7.88671875" style="13" customWidth="1"/>
    <col min="7951" max="7953" width="6.6640625" style="13" customWidth="1"/>
    <col min="7954" max="7954" width="7.33203125" style="13" customWidth="1"/>
    <col min="7955" max="7955" width="6.6640625" style="13" customWidth="1"/>
    <col min="7956" max="7956" width="8.33203125" style="13" customWidth="1"/>
    <col min="7957" max="7957" width="6.6640625" style="13" customWidth="1"/>
    <col min="7958" max="7960" width="7.5546875" style="13" customWidth="1"/>
    <col min="7961" max="7961" width="6.6640625" style="13" customWidth="1"/>
    <col min="7962" max="8192" width="8.88671875" style="13"/>
    <col min="8193" max="8193" width="2.33203125" style="13" customWidth="1"/>
    <col min="8194" max="8194" width="19" style="13" customWidth="1"/>
    <col min="8195" max="8195" width="7.109375" style="13" customWidth="1"/>
    <col min="8196" max="8206" width="7.88671875" style="13" customWidth="1"/>
    <col min="8207" max="8209" width="6.6640625" style="13" customWidth="1"/>
    <col min="8210" max="8210" width="7.33203125" style="13" customWidth="1"/>
    <col min="8211" max="8211" width="6.6640625" style="13" customWidth="1"/>
    <col min="8212" max="8212" width="8.33203125" style="13" customWidth="1"/>
    <col min="8213" max="8213" width="6.6640625" style="13" customWidth="1"/>
    <col min="8214" max="8216" width="7.5546875" style="13" customWidth="1"/>
    <col min="8217" max="8217" width="6.6640625" style="13" customWidth="1"/>
    <col min="8218" max="8448" width="8.88671875" style="13"/>
    <col min="8449" max="8449" width="2.33203125" style="13" customWidth="1"/>
    <col min="8450" max="8450" width="19" style="13" customWidth="1"/>
    <col min="8451" max="8451" width="7.109375" style="13" customWidth="1"/>
    <col min="8452" max="8462" width="7.88671875" style="13" customWidth="1"/>
    <col min="8463" max="8465" width="6.6640625" style="13" customWidth="1"/>
    <col min="8466" max="8466" width="7.33203125" style="13" customWidth="1"/>
    <col min="8467" max="8467" width="6.6640625" style="13" customWidth="1"/>
    <col min="8468" max="8468" width="8.33203125" style="13" customWidth="1"/>
    <col min="8469" max="8469" width="6.6640625" style="13" customWidth="1"/>
    <col min="8470" max="8472" width="7.5546875" style="13" customWidth="1"/>
    <col min="8473" max="8473" width="6.6640625" style="13" customWidth="1"/>
    <col min="8474" max="8704" width="8.88671875" style="13"/>
    <col min="8705" max="8705" width="2.33203125" style="13" customWidth="1"/>
    <col min="8706" max="8706" width="19" style="13" customWidth="1"/>
    <col min="8707" max="8707" width="7.109375" style="13" customWidth="1"/>
    <col min="8708" max="8718" width="7.88671875" style="13" customWidth="1"/>
    <col min="8719" max="8721" width="6.6640625" style="13" customWidth="1"/>
    <col min="8722" max="8722" width="7.33203125" style="13" customWidth="1"/>
    <col min="8723" max="8723" width="6.6640625" style="13" customWidth="1"/>
    <col min="8724" max="8724" width="8.33203125" style="13" customWidth="1"/>
    <col min="8725" max="8725" width="6.6640625" style="13" customWidth="1"/>
    <col min="8726" max="8728" width="7.5546875" style="13" customWidth="1"/>
    <col min="8729" max="8729" width="6.6640625" style="13" customWidth="1"/>
    <col min="8730" max="8960" width="8.88671875" style="13"/>
    <col min="8961" max="8961" width="2.33203125" style="13" customWidth="1"/>
    <col min="8962" max="8962" width="19" style="13" customWidth="1"/>
    <col min="8963" max="8963" width="7.109375" style="13" customWidth="1"/>
    <col min="8964" max="8974" width="7.88671875" style="13" customWidth="1"/>
    <col min="8975" max="8977" width="6.6640625" style="13" customWidth="1"/>
    <col min="8978" max="8978" width="7.33203125" style="13" customWidth="1"/>
    <col min="8979" max="8979" width="6.6640625" style="13" customWidth="1"/>
    <col min="8980" max="8980" width="8.33203125" style="13" customWidth="1"/>
    <col min="8981" max="8981" width="6.6640625" style="13" customWidth="1"/>
    <col min="8982" max="8984" width="7.5546875" style="13" customWidth="1"/>
    <col min="8985" max="8985" width="6.6640625" style="13" customWidth="1"/>
    <col min="8986" max="9216" width="8.88671875" style="13"/>
    <col min="9217" max="9217" width="2.33203125" style="13" customWidth="1"/>
    <col min="9218" max="9218" width="19" style="13" customWidth="1"/>
    <col min="9219" max="9219" width="7.109375" style="13" customWidth="1"/>
    <col min="9220" max="9230" width="7.88671875" style="13" customWidth="1"/>
    <col min="9231" max="9233" width="6.6640625" style="13" customWidth="1"/>
    <col min="9234" max="9234" width="7.33203125" style="13" customWidth="1"/>
    <col min="9235" max="9235" width="6.6640625" style="13" customWidth="1"/>
    <col min="9236" max="9236" width="8.33203125" style="13" customWidth="1"/>
    <col min="9237" max="9237" width="6.6640625" style="13" customWidth="1"/>
    <col min="9238" max="9240" width="7.5546875" style="13" customWidth="1"/>
    <col min="9241" max="9241" width="6.6640625" style="13" customWidth="1"/>
    <col min="9242" max="9472" width="8.88671875" style="13"/>
    <col min="9473" max="9473" width="2.33203125" style="13" customWidth="1"/>
    <col min="9474" max="9474" width="19" style="13" customWidth="1"/>
    <col min="9475" max="9475" width="7.109375" style="13" customWidth="1"/>
    <col min="9476" max="9486" width="7.88671875" style="13" customWidth="1"/>
    <col min="9487" max="9489" width="6.6640625" style="13" customWidth="1"/>
    <col min="9490" max="9490" width="7.33203125" style="13" customWidth="1"/>
    <col min="9491" max="9491" width="6.6640625" style="13" customWidth="1"/>
    <col min="9492" max="9492" width="8.33203125" style="13" customWidth="1"/>
    <col min="9493" max="9493" width="6.6640625" style="13" customWidth="1"/>
    <col min="9494" max="9496" width="7.5546875" style="13" customWidth="1"/>
    <col min="9497" max="9497" width="6.6640625" style="13" customWidth="1"/>
    <col min="9498" max="9728" width="8.88671875" style="13"/>
    <col min="9729" max="9729" width="2.33203125" style="13" customWidth="1"/>
    <col min="9730" max="9730" width="19" style="13" customWidth="1"/>
    <col min="9731" max="9731" width="7.109375" style="13" customWidth="1"/>
    <col min="9732" max="9742" width="7.88671875" style="13" customWidth="1"/>
    <col min="9743" max="9745" width="6.6640625" style="13" customWidth="1"/>
    <col min="9746" max="9746" width="7.33203125" style="13" customWidth="1"/>
    <col min="9747" max="9747" width="6.6640625" style="13" customWidth="1"/>
    <col min="9748" max="9748" width="8.33203125" style="13" customWidth="1"/>
    <col min="9749" max="9749" width="6.6640625" style="13" customWidth="1"/>
    <col min="9750" max="9752" width="7.5546875" style="13" customWidth="1"/>
    <col min="9753" max="9753" width="6.6640625" style="13" customWidth="1"/>
    <col min="9754" max="9984" width="8.88671875" style="13"/>
    <col min="9985" max="9985" width="2.33203125" style="13" customWidth="1"/>
    <col min="9986" max="9986" width="19" style="13" customWidth="1"/>
    <col min="9987" max="9987" width="7.109375" style="13" customWidth="1"/>
    <col min="9988" max="9998" width="7.88671875" style="13" customWidth="1"/>
    <col min="9999" max="10001" width="6.6640625" style="13" customWidth="1"/>
    <col min="10002" max="10002" width="7.33203125" style="13" customWidth="1"/>
    <col min="10003" max="10003" width="6.6640625" style="13" customWidth="1"/>
    <col min="10004" max="10004" width="8.33203125" style="13" customWidth="1"/>
    <col min="10005" max="10005" width="6.6640625" style="13" customWidth="1"/>
    <col min="10006" max="10008" width="7.5546875" style="13" customWidth="1"/>
    <col min="10009" max="10009" width="6.6640625" style="13" customWidth="1"/>
    <col min="10010" max="10240" width="8.88671875" style="13"/>
    <col min="10241" max="10241" width="2.33203125" style="13" customWidth="1"/>
    <col min="10242" max="10242" width="19" style="13" customWidth="1"/>
    <col min="10243" max="10243" width="7.109375" style="13" customWidth="1"/>
    <col min="10244" max="10254" width="7.88671875" style="13" customWidth="1"/>
    <col min="10255" max="10257" width="6.6640625" style="13" customWidth="1"/>
    <col min="10258" max="10258" width="7.33203125" style="13" customWidth="1"/>
    <col min="10259" max="10259" width="6.6640625" style="13" customWidth="1"/>
    <col min="10260" max="10260" width="8.33203125" style="13" customWidth="1"/>
    <col min="10261" max="10261" width="6.6640625" style="13" customWidth="1"/>
    <col min="10262" max="10264" width="7.5546875" style="13" customWidth="1"/>
    <col min="10265" max="10265" width="6.6640625" style="13" customWidth="1"/>
    <col min="10266" max="10496" width="8.88671875" style="13"/>
    <col min="10497" max="10497" width="2.33203125" style="13" customWidth="1"/>
    <col min="10498" max="10498" width="19" style="13" customWidth="1"/>
    <col min="10499" max="10499" width="7.109375" style="13" customWidth="1"/>
    <col min="10500" max="10510" width="7.88671875" style="13" customWidth="1"/>
    <col min="10511" max="10513" width="6.6640625" style="13" customWidth="1"/>
    <col min="10514" max="10514" width="7.33203125" style="13" customWidth="1"/>
    <col min="10515" max="10515" width="6.6640625" style="13" customWidth="1"/>
    <col min="10516" max="10516" width="8.33203125" style="13" customWidth="1"/>
    <col min="10517" max="10517" width="6.6640625" style="13" customWidth="1"/>
    <col min="10518" max="10520" width="7.5546875" style="13" customWidth="1"/>
    <col min="10521" max="10521" width="6.6640625" style="13" customWidth="1"/>
    <col min="10522" max="10752" width="8.88671875" style="13"/>
    <col min="10753" max="10753" width="2.33203125" style="13" customWidth="1"/>
    <col min="10754" max="10754" width="19" style="13" customWidth="1"/>
    <col min="10755" max="10755" width="7.109375" style="13" customWidth="1"/>
    <col min="10756" max="10766" width="7.88671875" style="13" customWidth="1"/>
    <col min="10767" max="10769" width="6.6640625" style="13" customWidth="1"/>
    <col min="10770" max="10770" width="7.33203125" style="13" customWidth="1"/>
    <col min="10771" max="10771" width="6.6640625" style="13" customWidth="1"/>
    <col min="10772" max="10772" width="8.33203125" style="13" customWidth="1"/>
    <col min="10773" max="10773" width="6.6640625" style="13" customWidth="1"/>
    <col min="10774" max="10776" width="7.5546875" style="13" customWidth="1"/>
    <col min="10777" max="10777" width="6.6640625" style="13" customWidth="1"/>
    <col min="10778" max="11008" width="8.88671875" style="13"/>
    <col min="11009" max="11009" width="2.33203125" style="13" customWidth="1"/>
    <col min="11010" max="11010" width="19" style="13" customWidth="1"/>
    <col min="11011" max="11011" width="7.109375" style="13" customWidth="1"/>
    <col min="11012" max="11022" width="7.88671875" style="13" customWidth="1"/>
    <col min="11023" max="11025" width="6.6640625" style="13" customWidth="1"/>
    <col min="11026" max="11026" width="7.33203125" style="13" customWidth="1"/>
    <col min="11027" max="11027" width="6.6640625" style="13" customWidth="1"/>
    <col min="11028" max="11028" width="8.33203125" style="13" customWidth="1"/>
    <col min="11029" max="11029" width="6.6640625" style="13" customWidth="1"/>
    <col min="11030" max="11032" width="7.5546875" style="13" customWidth="1"/>
    <col min="11033" max="11033" width="6.6640625" style="13" customWidth="1"/>
    <col min="11034" max="11264" width="8.88671875" style="13"/>
    <col min="11265" max="11265" width="2.33203125" style="13" customWidth="1"/>
    <col min="11266" max="11266" width="19" style="13" customWidth="1"/>
    <col min="11267" max="11267" width="7.109375" style="13" customWidth="1"/>
    <col min="11268" max="11278" width="7.88671875" style="13" customWidth="1"/>
    <col min="11279" max="11281" width="6.6640625" style="13" customWidth="1"/>
    <col min="11282" max="11282" width="7.33203125" style="13" customWidth="1"/>
    <col min="11283" max="11283" width="6.6640625" style="13" customWidth="1"/>
    <col min="11284" max="11284" width="8.33203125" style="13" customWidth="1"/>
    <col min="11285" max="11285" width="6.6640625" style="13" customWidth="1"/>
    <col min="11286" max="11288" width="7.5546875" style="13" customWidth="1"/>
    <col min="11289" max="11289" width="6.6640625" style="13" customWidth="1"/>
    <col min="11290" max="11520" width="8.88671875" style="13"/>
    <col min="11521" max="11521" width="2.33203125" style="13" customWidth="1"/>
    <col min="11522" max="11522" width="19" style="13" customWidth="1"/>
    <col min="11523" max="11523" width="7.109375" style="13" customWidth="1"/>
    <col min="11524" max="11534" width="7.88671875" style="13" customWidth="1"/>
    <col min="11535" max="11537" width="6.6640625" style="13" customWidth="1"/>
    <col min="11538" max="11538" width="7.33203125" style="13" customWidth="1"/>
    <col min="11539" max="11539" width="6.6640625" style="13" customWidth="1"/>
    <col min="11540" max="11540" width="8.33203125" style="13" customWidth="1"/>
    <col min="11541" max="11541" width="6.6640625" style="13" customWidth="1"/>
    <col min="11542" max="11544" width="7.5546875" style="13" customWidth="1"/>
    <col min="11545" max="11545" width="6.6640625" style="13" customWidth="1"/>
    <col min="11546" max="11776" width="8.88671875" style="13"/>
    <col min="11777" max="11777" width="2.33203125" style="13" customWidth="1"/>
    <col min="11778" max="11778" width="19" style="13" customWidth="1"/>
    <col min="11779" max="11779" width="7.109375" style="13" customWidth="1"/>
    <col min="11780" max="11790" width="7.88671875" style="13" customWidth="1"/>
    <col min="11791" max="11793" width="6.6640625" style="13" customWidth="1"/>
    <col min="11794" max="11794" width="7.33203125" style="13" customWidth="1"/>
    <col min="11795" max="11795" width="6.6640625" style="13" customWidth="1"/>
    <col min="11796" max="11796" width="8.33203125" style="13" customWidth="1"/>
    <col min="11797" max="11797" width="6.6640625" style="13" customWidth="1"/>
    <col min="11798" max="11800" width="7.5546875" style="13" customWidth="1"/>
    <col min="11801" max="11801" width="6.6640625" style="13" customWidth="1"/>
    <col min="11802" max="12032" width="8.88671875" style="13"/>
    <col min="12033" max="12033" width="2.33203125" style="13" customWidth="1"/>
    <col min="12034" max="12034" width="19" style="13" customWidth="1"/>
    <col min="12035" max="12035" width="7.109375" style="13" customWidth="1"/>
    <col min="12036" max="12046" width="7.88671875" style="13" customWidth="1"/>
    <col min="12047" max="12049" width="6.6640625" style="13" customWidth="1"/>
    <col min="12050" max="12050" width="7.33203125" style="13" customWidth="1"/>
    <col min="12051" max="12051" width="6.6640625" style="13" customWidth="1"/>
    <col min="12052" max="12052" width="8.33203125" style="13" customWidth="1"/>
    <col min="12053" max="12053" width="6.6640625" style="13" customWidth="1"/>
    <col min="12054" max="12056" width="7.5546875" style="13" customWidth="1"/>
    <col min="12057" max="12057" width="6.6640625" style="13" customWidth="1"/>
    <col min="12058" max="12288" width="8.88671875" style="13"/>
    <col min="12289" max="12289" width="2.33203125" style="13" customWidth="1"/>
    <col min="12290" max="12290" width="19" style="13" customWidth="1"/>
    <col min="12291" max="12291" width="7.109375" style="13" customWidth="1"/>
    <col min="12292" max="12302" width="7.88671875" style="13" customWidth="1"/>
    <col min="12303" max="12305" width="6.6640625" style="13" customWidth="1"/>
    <col min="12306" max="12306" width="7.33203125" style="13" customWidth="1"/>
    <col min="12307" max="12307" width="6.6640625" style="13" customWidth="1"/>
    <col min="12308" max="12308" width="8.33203125" style="13" customWidth="1"/>
    <col min="12309" max="12309" width="6.6640625" style="13" customWidth="1"/>
    <col min="12310" max="12312" width="7.5546875" style="13" customWidth="1"/>
    <col min="12313" max="12313" width="6.6640625" style="13" customWidth="1"/>
    <col min="12314" max="12544" width="8.88671875" style="13"/>
    <col min="12545" max="12545" width="2.33203125" style="13" customWidth="1"/>
    <col min="12546" max="12546" width="19" style="13" customWidth="1"/>
    <col min="12547" max="12547" width="7.109375" style="13" customWidth="1"/>
    <col min="12548" max="12558" width="7.88671875" style="13" customWidth="1"/>
    <col min="12559" max="12561" width="6.6640625" style="13" customWidth="1"/>
    <col min="12562" max="12562" width="7.33203125" style="13" customWidth="1"/>
    <col min="12563" max="12563" width="6.6640625" style="13" customWidth="1"/>
    <col min="12564" max="12564" width="8.33203125" style="13" customWidth="1"/>
    <col min="12565" max="12565" width="6.6640625" style="13" customWidth="1"/>
    <col min="12566" max="12568" width="7.5546875" style="13" customWidth="1"/>
    <col min="12569" max="12569" width="6.6640625" style="13" customWidth="1"/>
    <col min="12570" max="12800" width="8.88671875" style="13"/>
    <col min="12801" max="12801" width="2.33203125" style="13" customWidth="1"/>
    <col min="12802" max="12802" width="19" style="13" customWidth="1"/>
    <col min="12803" max="12803" width="7.109375" style="13" customWidth="1"/>
    <col min="12804" max="12814" width="7.88671875" style="13" customWidth="1"/>
    <col min="12815" max="12817" width="6.6640625" style="13" customWidth="1"/>
    <col min="12818" max="12818" width="7.33203125" style="13" customWidth="1"/>
    <col min="12819" max="12819" width="6.6640625" style="13" customWidth="1"/>
    <col min="12820" max="12820" width="8.33203125" style="13" customWidth="1"/>
    <col min="12821" max="12821" width="6.6640625" style="13" customWidth="1"/>
    <col min="12822" max="12824" width="7.5546875" style="13" customWidth="1"/>
    <col min="12825" max="12825" width="6.6640625" style="13" customWidth="1"/>
    <col min="12826" max="13056" width="8.88671875" style="13"/>
    <col min="13057" max="13057" width="2.33203125" style="13" customWidth="1"/>
    <col min="13058" max="13058" width="19" style="13" customWidth="1"/>
    <col min="13059" max="13059" width="7.109375" style="13" customWidth="1"/>
    <col min="13060" max="13070" width="7.88671875" style="13" customWidth="1"/>
    <col min="13071" max="13073" width="6.6640625" style="13" customWidth="1"/>
    <col min="13074" max="13074" width="7.33203125" style="13" customWidth="1"/>
    <col min="13075" max="13075" width="6.6640625" style="13" customWidth="1"/>
    <col min="13076" max="13076" width="8.33203125" style="13" customWidth="1"/>
    <col min="13077" max="13077" width="6.6640625" style="13" customWidth="1"/>
    <col min="13078" max="13080" width="7.5546875" style="13" customWidth="1"/>
    <col min="13081" max="13081" width="6.6640625" style="13" customWidth="1"/>
    <col min="13082" max="13312" width="8.88671875" style="13"/>
    <col min="13313" max="13313" width="2.33203125" style="13" customWidth="1"/>
    <col min="13314" max="13314" width="19" style="13" customWidth="1"/>
    <col min="13315" max="13315" width="7.109375" style="13" customWidth="1"/>
    <col min="13316" max="13326" width="7.88671875" style="13" customWidth="1"/>
    <col min="13327" max="13329" width="6.6640625" style="13" customWidth="1"/>
    <col min="13330" max="13330" width="7.33203125" style="13" customWidth="1"/>
    <col min="13331" max="13331" width="6.6640625" style="13" customWidth="1"/>
    <col min="13332" max="13332" width="8.33203125" style="13" customWidth="1"/>
    <col min="13333" max="13333" width="6.6640625" style="13" customWidth="1"/>
    <col min="13334" max="13336" width="7.5546875" style="13" customWidth="1"/>
    <col min="13337" max="13337" width="6.6640625" style="13" customWidth="1"/>
    <col min="13338" max="13568" width="8.88671875" style="13"/>
    <col min="13569" max="13569" width="2.33203125" style="13" customWidth="1"/>
    <col min="13570" max="13570" width="19" style="13" customWidth="1"/>
    <col min="13571" max="13571" width="7.109375" style="13" customWidth="1"/>
    <col min="13572" max="13582" width="7.88671875" style="13" customWidth="1"/>
    <col min="13583" max="13585" width="6.6640625" style="13" customWidth="1"/>
    <col min="13586" max="13586" width="7.33203125" style="13" customWidth="1"/>
    <col min="13587" max="13587" width="6.6640625" style="13" customWidth="1"/>
    <col min="13588" max="13588" width="8.33203125" style="13" customWidth="1"/>
    <col min="13589" max="13589" width="6.6640625" style="13" customWidth="1"/>
    <col min="13590" max="13592" width="7.5546875" style="13" customWidth="1"/>
    <col min="13593" max="13593" width="6.6640625" style="13" customWidth="1"/>
    <col min="13594" max="13824" width="8.88671875" style="13"/>
    <col min="13825" max="13825" width="2.33203125" style="13" customWidth="1"/>
    <col min="13826" max="13826" width="19" style="13" customWidth="1"/>
    <col min="13827" max="13827" width="7.109375" style="13" customWidth="1"/>
    <col min="13828" max="13838" width="7.88671875" style="13" customWidth="1"/>
    <col min="13839" max="13841" width="6.6640625" style="13" customWidth="1"/>
    <col min="13842" max="13842" width="7.33203125" style="13" customWidth="1"/>
    <col min="13843" max="13843" width="6.6640625" style="13" customWidth="1"/>
    <col min="13844" max="13844" width="8.33203125" style="13" customWidth="1"/>
    <col min="13845" max="13845" width="6.6640625" style="13" customWidth="1"/>
    <col min="13846" max="13848" width="7.5546875" style="13" customWidth="1"/>
    <col min="13849" max="13849" width="6.6640625" style="13" customWidth="1"/>
    <col min="13850" max="14080" width="8.88671875" style="13"/>
    <col min="14081" max="14081" width="2.33203125" style="13" customWidth="1"/>
    <col min="14082" max="14082" width="19" style="13" customWidth="1"/>
    <col min="14083" max="14083" width="7.109375" style="13" customWidth="1"/>
    <col min="14084" max="14094" width="7.88671875" style="13" customWidth="1"/>
    <col min="14095" max="14097" width="6.6640625" style="13" customWidth="1"/>
    <col min="14098" max="14098" width="7.33203125" style="13" customWidth="1"/>
    <col min="14099" max="14099" width="6.6640625" style="13" customWidth="1"/>
    <col min="14100" max="14100" width="8.33203125" style="13" customWidth="1"/>
    <col min="14101" max="14101" width="6.6640625" style="13" customWidth="1"/>
    <col min="14102" max="14104" width="7.5546875" style="13" customWidth="1"/>
    <col min="14105" max="14105" width="6.6640625" style="13" customWidth="1"/>
    <col min="14106" max="14336" width="8.88671875" style="13"/>
    <col min="14337" max="14337" width="2.33203125" style="13" customWidth="1"/>
    <col min="14338" max="14338" width="19" style="13" customWidth="1"/>
    <col min="14339" max="14339" width="7.109375" style="13" customWidth="1"/>
    <col min="14340" max="14350" width="7.88671875" style="13" customWidth="1"/>
    <col min="14351" max="14353" width="6.6640625" style="13" customWidth="1"/>
    <col min="14354" max="14354" width="7.33203125" style="13" customWidth="1"/>
    <col min="14355" max="14355" width="6.6640625" style="13" customWidth="1"/>
    <col min="14356" max="14356" width="8.33203125" style="13" customWidth="1"/>
    <col min="14357" max="14357" width="6.6640625" style="13" customWidth="1"/>
    <col min="14358" max="14360" width="7.5546875" style="13" customWidth="1"/>
    <col min="14361" max="14361" width="6.6640625" style="13" customWidth="1"/>
    <col min="14362" max="14592" width="8.88671875" style="13"/>
    <col min="14593" max="14593" width="2.33203125" style="13" customWidth="1"/>
    <col min="14594" max="14594" width="19" style="13" customWidth="1"/>
    <col min="14595" max="14595" width="7.109375" style="13" customWidth="1"/>
    <col min="14596" max="14606" width="7.88671875" style="13" customWidth="1"/>
    <col min="14607" max="14609" width="6.6640625" style="13" customWidth="1"/>
    <col min="14610" max="14610" width="7.33203125" style="13" customWidth="1"/>
    <col min="14611" max="14611" width="6.6640625" style="13" customWidth="1"/>
    <col min="14612" max="14612" width="8.33203125" style="13" customWidth="1"/>
    <col min="14613" max="14613" width="6.6640625" style="13" customWidth="1"/>
    <col min="14614" max="14616" width="7.5546875" style="13" customWidth="1"/>
    <col min="14617" max="14617" width="6.6640625" style="13" customWidth="1"/>
    <col min="14618" max="14848" width="8.88671875" style="13"/>
    <col min="14849" max="14849" width="2.33203125" style="13" customWidth="1"/>
    <col min="14850" max="14850" width="19" style="13" customWidth="1"/>
    <col min="14851" max="14851" width="7.109375" style="13" customWidth="1"/>
    <col min="14852" max="14862" width="7.88671875" style="13" customWidth="1"/>
    <col min="14863" max="14865" width="6.6640625" style="13" customWidth="1"/>
    <col min="14866" max="14866" width="7.33203125" style="13" customWidth="1"/>
    <col min="14867" max="14867" width="6.6640625" style="13" customWidth="1"/>
    <col min="14868" max="14868" width="8.33203125" style="13" customWidth="1"/>
    <col min="14869" max="14869" width="6.6640625" style="13" customWidth="1"/>
    <col min="14870" max="14872" width="7.5546875" style="13" customWidth="1"/>
    <col min="14873" max="14873" width="6.6640625" style="13" customWidth="1"/>
    <col min="14874" max="15104" width="8.88671875" style="13"/>
    <col min="15105" max="15105" width="2.33203125" style="13" customWidth="1"/>
    <col min="15106" max="15106" width="19" style="13" customWidth="1"/>
    <col min="15107" max="15107" width="7.109375" style="13" customWidth="1"/>
    <col min="15108" max="15118" width="7.88671875" style="13" customWidth="1"/>
    <col min="15119" max="15121" width="6.6640625" style="13" customWidth="1"/>
    <col min="15122" max="15122" width="7.33203125" style="13" customWidth="1"/>
    <col min="15123" max="15123" width="6.6640625" style="13" customWidth="1"/>
    <col min="15124" max="15124" width="8.33203125" style="13" customWidth="1"/>
    <col min="15125" max="15125" width="6.6640625" style="13" customWidth="1"/>
    <col min="15126" max="15128" width="7.5546875" style="13" customWidth="1"/>
    <col min="15129" max="15129" width="6.6640625" style="13" customWidth="1"/>
    <col min="15130" max="15360" width="8.88671875" style="13"/>
    <col min="15361" max="15361" width="2.33203125" style="13" customWidth="1"/>
    <col min="15362" max="15362" width="19" style="13" customWidth="1"/>
    <col min="15363" max="15363" width="7.109375" style="13" customWidth="1"/>
    <col min="15364" max="15374" width="7.88671875" style="13" customWidth="1"/>
    <col min="15375" max="15377" width="6.6640625" style="13" customWidth="1"/>
    <col min="15378" max="15378" width="7.33203125" style="13" customWidth="1"/>
    <col min="15379" max="15379" width="6.6640625" style="13" customWidth="1"/>
    <col min="15380" max="15380" width="8.33203125" style="13" customWidth="1"/>
    <col min="15381" max="15381" width="6.6640625" style="13" customWidth="1"/>
    <col min="15382" max="15384" width="7.5546875" style="13" customWidth="1"/>
    <col min="15385" max="15385" width="6.6640625" style="13" customWidth="1"/>
    <col min="15386" max="15616" width="8.88671875" style="13"/>
    <col min="15617" max="15617" width="2.33203125" style="13" customWidth="1"/>
    <col min="15618" max="15618" width="19" style="13" customWidth="1"/>
    <col min="15619" max="15619" width="7.109375" style="13" customWidth="1"/>
    <col min="15620" max="15630" width="7.88671875" style="13" customWidth="1"/>
    <col min="15631" max="15633" width="6.6640625" style="13" customWidth="1"/>
    <col min="15634" max="15634" width="7.33203125" style="13" customWidth="1"/>
    <col min="15635" max="15635" width="6.6640625" style="13" customWidth="1"/>
    <col min="15636" max="15636" width="8.33203125" style="13" customWidth="1"/>
    <col min="15637" max="15637" width="6.6640625" style="13" customWidth="1"/>
    <col min="15638" max="15640" width="7.5546875" style="13" customWidth="1"/>
    <col min="15641" max="15641" width="6.6640625" style="13" customWidth="1"/>
    <col min="15642" max="15872" width="8.88671875" style="13"/>
    <col min="15873" max="15873" width="2.33203125" style="13" customWidth="1"/>
    <col min="15874" max="15874" width="19" style="13" customWidth="1"/>
    <col min="15875" max="15875" width="7.109375" style="13" customWidth="1"/>
    <col min="15876" max="15886" width="7.88671875" style="13" customWidth="1"/>
    <col min="15887" max="15889" width="6.6640625" style="13" customWidth="1"/>
    <col min="15890" max="15890" width="7.33203125" style="13" customWidth="1"/>
    <col min="15891" max="15891" width="6.6640625" style="13" customWidth="1"/>
    <col min="15892" max="15892" width="8.33203125" style="13" customWidth="1"/>
    <col min="15893" max="15893" width="6.6640625" style="13" customWidth="1"/>
    <col min="15894" max="15896" width="7.5546875" style="13" customWidth="1"/>
    <col min="15897" max="15897" width="6.6640625" style="13" customWidth="1"/>
    <col min="15898" max="16128" width="8.88671875" style="13"/>
    <col min="16129" max="16129" width="2.33203125" style="13" customWidth="1"/>
    <col min="16130" max="16130" width="19" style="13" customWidth="1"/>
    <col min="16131" max="16131" width="7.109375" style="13" customWidth="1"/>
    <col min="16132" max="16142" width="7.88671875" style="13" customWidth="1"/>
    <col min="16143" max="16145" width="6.6640625" style="13" customWidth="1"/>
    <col min="16146" max="16146" width="7.33203125" style="13" customWidth="1"/>
    <col min="16147" max="16147" width="6.6640625" style="13" customWidth="1"/>
    <col min="16148" max="16148" width="8.33203125" style="13" customWidth="1"/>
    <col min="16149" max="16149" width="6.6640625" style="13" customWidth="1"/>
    <col min="16150" max="16152" width="7.5546875" style="13" customWidth="1"/>
    <col min="16153" max="16153" width="6.6640625" style="13" customWidth="1"/>
    <col min="16154" max="16384" width="8.88671875" style="13"/>
  </cols>
  <sheetData>
    <row r="1" spans="2:25" s="52" customFormat="1" ht="13.8" x14ac:dyDescent="0.25">
      <c r="B1" s="109" t="s">
        <v>100</v>
      </c>
      <c r="E1" s="45"/>
      <c r="F1" s="45"/>
      <c r="G1" s="45"/>
      <c r="H1" s="45"/>
      <c r="I1" s="45"/>
      <c r="J1" s="45"/>
      <c r="K1" s="45"/>
      <c r="L1" s="45"/>
      <c r="M1" s="45"/>
      <c r="N1" s="45"/>
      <c r="O1" s="45"/>
      <c r="P1" s="45"/>
      <c r="Q1" s="45"/>
      <c r="R1" s="45"/>
      <c r="S1" s="45"/>
      <c r="T1" s="45"/>
      <c r="U1" s="45"/>
      <c r="V1" s="45"/>
      <c r="W1" s="45"/>
      <c r="X1" s="45"/>
      <c r="Y1" s="45"/>
    </row>
    <row r="2" spans="2:25" x14ac:dyDescent="0.25">
      <c r="B2" s="110" t="s">
        <v>92</v>
      </c>
      <c r="C2" s="110"/>
    </row>
    <row r="3" spans="2:25" x14ac:dyDescent="0.25">
      <c r="B3" s="12" t="s">
        <v>123</v>
      </c>
    </row>
    <row r="4" spans="2:25" x14ac:dyDescent="0.25">
      <c r="B4" s="12" t="s">
        <v>120</v>
      </c>
    </row>
    <row r="5" spans="2:25" ht="12.6" customHeight="1" x14ac:dyDescent="0.25">
      <c r="B5" s="12" t="s">
        <v>121</v>
      </c>
    </row>
    <row r="6" spans="2:25" x14ac:dyDescent="0.25">
      <c r="B6" s="12" t="s">
        <v>124</v>
      </c>
    </row>
    <row r="7" spans="2:25" x14ac:dyDescent="0.25">
      <c r="B7" s="12" t="s">
        <v>125</v>
      </c>
    </row>
    <row r="8" spans="2:25" x14ac:dyDescent="0.25">
      <c r="B8" s="12" t="s">
        <v>126</v>
      </c>
    </row>
    <row r="9" spans="2:25" x14ac:dyDescent="0.25">
      <c r="B9" s="12" t="s">
        <v>96</v>
      </c>
    </row>
    <row r="10" spans="2:25" x14ac:dyDescent="0.25">
      <c r="B10" s="12" t="s">
        <v>109</v>
      </c>
    </row>
    <row r="11" spans="2:25" x14ac:dyDescent="0.25">
      <c r="B11" s="107" t="s">
        <v>108</v>
      </c>
      <c r="C11" s="15"/>
      <c r="D11" s="15"/>
      <c r="E11" s="15"/>
      <c r="F11" s="15"/>
      <c r="G11" s="15"/>
      <c r="H11" s="15"/>
      <c r="I11" s="15"/>
      <c r="J11" s="15"/>
      <c r="K11" s="15"/>
      <c r="L11" s="15"/>
      <c r="M11" s="15"/>
      <c r="N11" s="15"/>
      <c r="O11" s="15"/>
      <c r="P11" s="13"/>
      <c r="Q11" s="13"/>
      <c r="R11" s="13"/>
      <c r="S11" s="13"/>
      <c r="T11" s="13"/>
      <c r="U11" s="13"/>
      <c r="V11" s="13"/>
      <c r="W11" s="13"/>
      <c r="X11" s="13"/>
      <c r="Y11" s="13"/>
    </row>
    <row r="12" spans="2:25" x14ac:dyDescent="0.25">
      <c r="B12" s="12" t="s">
        <v>131</v>
      </c>
      <c r="T12" s="13"/>
      <c r="U12" s="13"/>
      <c r="V12" s="13"/>
      <c r="W12" s="13"/>
      <c r="X12" s="13"/>
      <c r="Y12" s="13"/>
    </row>
    <row r="13" spans="2:25" x14ac:dyDescent="0.25">
      <c r="B13" s="12" t="s">
        <v>107</v>
      </c>
      <c r="T13" s="13"/>
      <c r="U13" s="13"/>
      <c r="V13" s="13"/>
      <c r="W13" s="13"/>
      <c r="X13" s="13"/>
      <c r="Y13" s="13"/>
    </row>
    <row r="14" spans="2:25" x14ac:dyDescent="0.25">
      <c r="B14" s="12" t="s">
        <v>122</v>
      </c>
      <c r="C14" s="126"/>
      <c r="D14" s="126"/>
      <c r="E14" s="126"/>
      <c r="F14" s="126"/>
      <c r="G14" s="126"/>
      <c r="H14" s="126"/>
      <c r="I14" s="126"/>
      <c r="J14" s="126"/>
      <c r="K14" s="126"/>
      <c r="L14" s="126"/>
      <c r="M14" s="126"/>
      <c r="N14" s="126"/>
      <c r="O14" s="126"/>
      <c r="P14" s="126"/>
      <c r="Q14" s="126"/>
      <c r="R14" s="126"/>
      <c r="S14" s="126"/>
      <c r="T14" s="13"/>
      <c r="U14" s="13"/>
      <c r="V14" s="13"/>
      <c r="W14" s="13"/>
      <c r="X14" s="13"/>
      <c r="Y14" s="13"/>
    </row>
    <row r="15" spans="2:25" x14ac:dyDescent="0.25">
      <c r="B15" s="107" t="s">
        <v>113</v>
      </c>
      <c r="C15" s="15"/>
      <c r="D15" s="15"/>
      <c r="E15" s="15"/>
      <c r="F15" s="15"/>
      <c r="G15" s="15"/>
      <c r="H15" s="15"/>
      <c r="I15" s="15"/>
      <c r="J15" s="15"/>
      <c r="K15" s="15"/>
      <c r="L15" s="15"/>
      <c r="M15" s="15"/>
      <c r="N15" s="15"/>
      <c r="O15" s="15"/>
      <c r="P15" s="13"/>
      <c r="Q15" s="13"/>
      <c r="R15" s="13"/>
      <c r="S15" s="13"/>
      <c r="T15" s="13"/>
      <c r="U15" s="13"/>
      <c r="V15" s="13"/>
      <c r="W15" s="13"/>
      <c r="X15" s="13"/>
      <c r="Y15" s="13"/>
    </row>
    <row r="16" spans="2:25" x14ac:dyDescent="0.25">
      <c r="B16" s="12"/>
      <c r="C16" s="126"/>
      <c r="D16" s="126"/>
      <c r="E16" s="126"/>
      <c r="F16" s="125" t="s">
        <v>136</v>
      </c>
      <c r="G16" s="126"/>
      <c r="H16" s="126"/>
      <c r="I16" s="126"/>
      <c r="J16" s="126"/>
      <c r="K16" s="126"/>
      <c r="L16" s="126"/>
      <c r="M16" s="126"/>
      <c r="N16" s="126"/>
      <c r="O16" s="126"/>
      <c r="P16" s="126"/>
      <c r="Q16" s="126"/>
      <c r="R16" s="125" t="s">
        <v>137</v>
      </c>
      <c r="S16" s="126"/>
      <c r="T16" s="13"/>
      <c r="U16" s="13"/>
      <c r="V16" s="13"/>
      <c r="W16" s="13"/>
      <c r="X16" s="13"/>
      <c r="Y16" s="13"/>
    </row>
    <row r="17" spans="2:33" x14ac:dyDescent="0.25">
      <c r="B17" s="64"/>
      <c r="C17" s="127" t="s">
        <v>95</v>
      </c>
      <c r="D17" s="128">
        <v>90</v>
      </c>
      <c r="F17" s="22" t="s">
        <v>138</v>
      </c>
      <c r="R17" s="107" t="s">
        <v>139</v>
      </c>
      <c r="Y17" s="13"/>
    </row>
    <row r="18" spans="2:33" x14ac:dyDescent="0.25">
      <c r="B18" s="129" t="s">
        <v>86</v>
      </c>
      <c r="F18" s="22" t="s">
        <v>140</v>
      </c>
      <c r="R18" s="107" t="s">
        <v>141</v>
      </c>
      <c r="X18" s="13"/>
      <c r="Y18" s="13"/>
    </row>
    <row r="19" spans="2:33" x14ac:dyDescent="0.25">
      <c r="D19" s="16" t="s">
        <v>84</v>
      </c>
      <c r="F19" s="22" t="s">
        <v>142</v>
      </c>
      <c r="R19" s="107" t="s">
        <v>143</v>
      </c>
      <c r="S19" s="18"/>
      <c r="X19" s="13"/>
      <c r="Y19" s="13"/>
      <c r="AB19" s="14"/>
      <c r="AC19" s="14"/>
      <c r="AD19" s="14"/>
    </row>
    <row r="20" spans="2:33" ht="27.75" customHeight="1" x14ac:dyDescent="0.25">
      <c r="D20" s="19" t="s">
        <v>3</v>
      </c>
      <c r="F20" s="20"/>
      <c r="G20" s="20"/>
      <c r="H20" s="20"/>
      <c r="I20" s="20"/>
      <c r="J20" s="20"/>
      <c r="K20" s="20"/>
      <c r="L20" s="20"/>
      <c r="M20" s="20"/>
      <c r="N20" s="20"/>
      <c r="S20" s="21"/>
      <c r="T20" s="20"/>
      <c r="U20" s="20"/>
      <c r="V20" s="20"/>
      <c r="W20" s="20"/>
      <c r="X20" s="13"/>
      <c r="Y20" s="13"/>
      <c r="AA20" s="20"/>
      <c r="AB20" s="22"/>
      <c r="AC20" s="20"/>
      <c r="AD20" s="20"/>
    </row>
    <row r="21" spans="2:33" x14ac:dyDescent="0.25">
      <c r="C21" s="23" t="s">
        <v>2</v>
      </c>
      <c r="D21" s="93">
        <v>400</v>
      </c>
      <c r="J21" s="130"/>
      <c r="N21" s="131"/>
      <c r="S21" s="18"/>
      <c r="AA21" s="130"/>
      <c r="AB21" s="14"/>
      <c r="AC21" s="14"/>
      <c r="AD21" s="14"/>
      <c r="AE21" s="131"/>
    </row>
    <row r="22" spans="2:33" x14ac:dyDescent="0.25">
      <c r="C22" s="23" t="s">
        <v>25</v>
      </c>
      <c r="D22" s="93">
        <v>30</v>
      </c>
      <c r="J22" s="130"/>
      <c r="L22" s="130" t="s">
        <v>144</v>
      </c>
      <c r="N22" s="131"/>
      <c r="S22" s="18"/>
      <c r="U22" s="17"/>
      <c r="AA22" s="130"/>
      <c r="AB22" s="14"/>
      <c r="AC22" s="130" t="s">
        <v>144</v>
      </c>
      <c r="AD22" s="14"/>
      <c r="AE22" s="131"/>
    </row>
    <row r="23" spans="2:33" x14ac:dyDescent="0.25">
      <c r="C23" s="23" t="s">
        <v>26</v>
      </c>
      <c r="D23" s="25">
        <f>1+D22/100</f>
        <v>1.3</v>
      </c>
      <c r="E23" s="17"/>
      <c r="J23" s="130"/>
      <c r="N23" s="131"/>
      <c r="V23" s="17" t="s">
        <v>85</v>
      </c>
      <c r="Z23" s="14"/>
      <c r="AA23" s="130"/>
      <c r="AB23" s="14"/>
      <c r="AC23" s="14"/>
      <c r="AD23" s="14"/>
      <c r="AE23" s="131"/>
      <c r="AF23" s="14"/>
      <c r="AG23" s="14"/>
    </row>
    <row r="24" spans="2:33" x14ac:dyDescent="0.25">
      <c r="C24" s="27" t="s">
        <v>77</v>
      </c>
      <c r="D24" s="16"/>
      <c r="E24" s="89">
        <v>10</v>
      </c>
      <c r="F24" s="94">
        <f>E24</f>
        <v>10</v>
      </c>
      <c r="G24" s="94">
        <f t="shared" ref="G24:N24" si="0">F24</f>
        <v>10</v>
      </c>
      <c r="H24" s="94">
        <f t="shared" si="0"/>
        <v>10</v>
      </c>
      <c r="I24" s="94">
        <f t="shared" si="0"/>
        <v>10</v>
      </c>
      <c r="J24" s="94">
        <f>I24</f>
        <v>10</v>
      </c>
      <c r="K24" s="94">
        <f t="shared" si="0"/>
        <v>10</v>
      </c>
      <c r="L24" s="94">
        <f t="shared" si="0"/>
        <v>10</v>
      </c>
      <c r="M24" s="94">
        <f t="shared" si="0"/>
        <v>10</v>
      </c>
      <c r="N24" s="94">
        <f t="shared" si="0"/>
        <v>10</v>
      </c>
      <c r="U24" s="18"/>
      <c r="V24" s="107" t="s">
        <v>98</v>
      </c>
      <c r="Z24" s="14"/>
      <c r="AA24" s="14"/>
      <c r="AC24" s="15"/>
      <c r="AE24" s="24"/>
      <c r="AF24" s="24"/>
      <c r="AG24" s="24"/>
    </row>
    <row r="25" spans="2:33" x14ac:dyDescent="0.25">
      <c r="C25" s="27" t="s">
        <v>53</v>
      </c>
      <c r="D25" s="16"/>
      <c r="E25" s="94">
        <v>5</v>
      </c>
      <c r="F25" s="94">
        <v>0</v>
      </c>
      <c r="G25" s="179">
        <f>100/1.05-100</f>
        <v>-4.7619047619047592</v>
      </c>
      <c r="H25" s="94">
        <v>5</v>
      </c>
      <c r="I25" s="94">
        <v>0</v>
      </c>
      <c r="J25" s="179">
        <f>100/1.05-100</f>
        <v>-4.7619047619047592</v>
      </c>
      <c r="K25" s="94">
        <v>5</v>
      </c>
      <c r="L25" s="94">
        <v>0</v>
      </c>
      <c r="M25" s="179">
        <f>100/1.05-100</f>
        <v>-4.7619047619047592</v>
      </c>
      <c r="N25" s="94">
        <v>0</v>
      </c>
      <c r="U25" s="18"/>
      <c r="V25" s="107"/>
      <c r="Z25" s="14"/>
      <c r="AA25" s="14"/>
      <c r="AC25" s="15"/>
      <c r="AE25" s="24"/>
      <c r="AF25" s="24"/>
      <c r="AG25" s="24"/>
    </row>
    <row r="26" spans="2:33" x14ac:dyDescent="0.25">
      <c r="C26" s="27" t="s">
        <v>34</v>
      </c>
      <c r="D26" s="23"/>
      <c r="E26" s="90" t="s">
        <v>110</v>
      </c>
      <c r="F26" s="90" t="s">
        <v>111</v>
      </c>
      <c r="G26" s="90" t="s">
        <v>112</v>
      </c>
      <c r="H26" s="90" t="s">
        <v>110</v>
      </c>
      <c r="I26" s="90" t="s">
        <v>111</v>
      </c>
      <c r="J26" s="90" t="s">
        <v>112</v>
      </c>
      <c r="K26" s="90" t="s">
        <v>110</v>
      </c>
      <c r="L26" s="90" t="s">
        <v>111</v>
      </c>
      <c r="M26" s="90" t="s">
        <v>112</v>
      </c>
      <c r="N26" s="90" t="s">
        <v>111</v>
      </c>
      <c r="U26" s="18"/>
      <c r="Z26" s="14"/>
      <c r="AA26" s="14"/>
      <c r="AC26" s="15"/>
      <c r="AE26" s="24"/>
      <c r="AF26" s="24"/>
      <c r="AG26" s="24"/>
    </row>
    <row r="27" spans="2:33" ht="12.6" customHeight="1" x14ac:dyDescent="0.25">
      <c r="C27" s="180"/>
      <c r="D27" s="133"/>
      <c r="E27" s="134" t="s">
        <v>35</v>
      </c>
      <c r="F27" s="134" t="s">
        <v>36</v>
      </c>
      <c r="G27" s="134" t="s">
        <v>37</v>
      </c>
      <c r="H27" s="134" t="s">
        <v>38</v>
      </c>
      <c r="I27" s="134" t="s">
        <v>39</v>
      </c>
      <c r="J27" s="134" t="s">
        <v>40</v>
      </c>
      <c r="K27" s="134" t="s">
        <v>41</v>
      </c>
      <c r="L27" s="134" t="s">
        <v>42</v>
      </c>
      <c r="M27" s="134" t="s">
        <v>43</v>
      </c>
      <c r="N27" s="134" t="s">
        <v>44</v>
      </c>
      <c r="P27" s="28" t="s">
        <v>2</v>
      </c>
      <c r="V27" s="181" t="str">
        <f t="shared" ref="V27:AE27" si="1">E27</f>
        <v>Game1</v>
      </c>
      <c r="W27" s="181" t="str">
        <f t="shared" si="1"/>
        <v>Game2</v>
      </c>
      <c r="X27" s="181" t="str">
        <f t="shared" si="1"/>
        <v>Game3</v>
      </c>
      <c r="Y27" s="181" t="str">
        <f t="shared" si="1"/>
        <v>Game4</v>
      </c>
      <c r="Z27" s="181" t="str">
        <f t="shared" si="1"/>
        <v>Game5</v>
      </c>
      <c r="AA27" s="181" t="str">
        <f t="shared" si="1"/>
        <v>Game6</v>
      </c>
      <c r="AB27" s="181" t="str">
        <f t="shared" si="1"/>
        <v>Game7</v>
      </c>
      <c r="AC27" s="181" t="str">
        <f t="shared" si="1"/>
        <v>Game8</v>
      </c>
      <c r="AD27" s="181" t="str">
        <f t="shared" si="1"/>
        <v>Game9</v>
      </c>
      <c r="AE27" s="181" t="str">
        <f t="shared" si="1"/>
        <v>Game10</v>
      </c>
      <c r="AF27" s="14"/>
      <c r="AG27" s="28" t="s">
        <v>2</v>
      </c>
    </row>
    <row r="28" spans="2:33" x14ac:dyDescent="0.25">
      <c r="B28" s="135" t="s">
        <v>145</v>
      </c>
      <c r="C28" s="105" t="s">
        <v>4</v>
      </c>
      <c r="D28" s="6"/>
      <c r="E28" s="96">
        <v>812.66894479840244</v>
      </c>
      <c r="F28" s="97">
        <v>706.73425202427961</v>
      </c>
      <c r="G28" s="97">
        <v>595.95357002551157</v>
      </c>
      <c r="H28" s="97">
        <v>625.97412165364346</v>
      </c>
      <c r="I28" s="97">
        <v>556.23851732836431</v>
      </c>
      <c r="J28" s="97">
        <v>629.69262370244178</v>
      </c>
      <c r="K28" s="97">
        <v>662.43443970567694</v>
      </c>
      <c r="L28" s="97">
        <v>645.17699960024163</v>
      </c>
      <c r="M28" s="97">
        <v>628.61852133160573</v>
      </c>
      <c r="N28" s="98">
        <v>638.96908271547159</v>
      </c>
      <c r="O28" s="136"/>
      <c r="P28" s="31">
        <f t="shared" ref="P28:P47" si="2">AVERAGE(E28:N28)</f>
        <v>650.24610728856385</v>
      </c>
      <c r="S28" s="13"/>
      <c r="U28" s="30"/>
      <c r="V28" s="137">
        <f t="shared" ref="V28:AE47" si="3">100*LN(E28)</f>
        <v>670.03238246485898</v>
      </c>
      <c r="W28" s="138">
        <f t="shared" si="3"/>
        <v>656.06547140817679</v>
      </c>
      <c r="X28" s="138">
        <f t="shared" si="3"/>
        <v>639.01627613890219</v>
      </c>
      <c r="Y28" s="138">
        <f t="shared" si="3"/>
        <v>643.93090310341779</v>
      </c>
      <c r="Z28" s="138">
        <f t="shared" si="3"/>
        <v>632.11971902621929</v>
      </c>
      <c r="AA28" s="138">
        <f t="shared" si="3"/>
        <v>644.52318014391756</v>
      </c>
      <c r="AB28" s="138">
        <f t="shared" si="3"/>
        <v>649.59215940287913</v>
      </c>
      <c r="AC28" s="138">
        <f t="shared" si="3"/>
        <v>646.9524697134915</v>
      </c>
      <c r="AD28" s="138">
        <f t="shared" si="3"/>
        <v>644.35245883449352</v>
      </c>
      <c r="AE28" s="139">
        <f t="shared" si="3"/>
        <v>645.98560693501463</v>
      </c>
      <c r="AF28" s="30"/>
      <c r="AG28" s="31">
        <f>AVERAGE(V28:AE28)</f>
        <v>647.25706271713705</v>
      </c>
    </row>
    <row r="29" spans="2:33" x14ac:dyDescent="0.25">
      <c r="C29" s="105" t="s">
        <v>5</v>
      </c>
      <c r="D29" s="6"/>
      <c r="E29" s="99">
        <v>190.23584740022159</v>
      </c>
      <c r="F29" s="100">
        <v>215.77965529836985</v>
      </c>
      <c r="G29" s="100">
        <v>198.4007142412803</v>
      </c>
      <c r="H29" s="100">
        <v>180.57694483765306</v>
      </c>
      <c r="I29" s="100">
        <v>199.2070851826108</v>
      </c>
      <c r="J29" s="100">
        <v>186.96803129179469</v>
      </c>
      <c r="K29" s="100">
        <v>221.03494784023454</v>
      </c>
      <c r="L29" s="100">
        <v>233.56412492259201</v>
      </c>
      <c r="M29" s="100">
        <v>203.57994762346144</v>
      </c>
      <c r="N29" s="101">
        <v>210.972923078549</v>
      </c>
      <c r="O29" s="136"/>
      <c r="P29" s="31">
        <f t="shared" si="2"/>
        <v>204.03202217167672</v>
      </c>
      <c r="S29" s="13"/>
      <c r="U29" s="30"/>
      <c r="V29" s="140">
        <f t="shared" si="3"/>
        <v>524.82646044884086</v>
      </c>
      <c r="W29" s="141">
        <f t="shared" si="3"/>
        <v>537.42577726539866</v>
      </c>
      <c r="X29" s="141">
        <f t="shared" si="3"/>
        <v>529.02887948507453</v>
      </c>
      <c r="Y29" s="141">
        <f t="shared" si="3"/>
        <v>519.61569741275787</v>
      </c>
      <c r="Z29" s="141">
        <f t="shared" si="3"/>
        <v>529.43449127037616</v>
      </c>
      <c r="AA29" s="141">
        <f t="shared" si="3"/>
        <v>523.09376465811499</v>
      </c>
      <c r="AB29" s="141">
        <f t="shared" si="3"/>
        <v>539.8320824039414</v>
      </c>
      <c r="AC29" s="141">
        <f t="shared" si="3"/>
        <v>545.34566643425808</v>
      </c>
      <c r="AD29" s="141">
        <f t="shared" si="3"/>
        <v>531.60587907467334</v>
      </c>
      <c r="AE29" s="142">
        <f t="shared" si="3"/>
        <v>535.17297985995503</v>
      </c>
      <c r="AF29" s="30"/>
      <c r="AG29" s="31">
        <f t="shared" ref="AG29:AG47" si="4">AVERAGE(V29:AE29)</f>
        <v>531.53816783133914</v>
      </c>
    </row>
    <row r="30" spans="2:33" x14ac:dyDescent="0.25">
      <c r="C30" s="105" t="s">
        <v>6</v>
      </c>
      <c r="D30" s="6"/>
      <c r="E30" s="99">
        <v>563.84982085276806</v>
      </c>
      <c r="F30" s="100">
        <v>489.19716411122982</v>
      </c>
      <c r="G30" s="100">
        <v>415.06998168889641</v>
      </c>
      <c r="H30" s="100">
        <v>527.91389019544545</v>
      </c>
      <c r="I30" s="100">
        <v>499.0826986000323</v>
      </c>
      <c r="J30" s="100">
        <v>401.31988951544577</v>
      </c>
      <c r="K30" s="100">
        <v>515.02921682796102</v>
      </c>
      <c r="L30" s="100">
        <v>564.92218304516143</v>
      </c>
      <c r="M30" s="100">
        <v>441.72173294774802</v>
      </c>
      <c r="N30" s="101">
        <v>413.523033197389</v>
      </c>
      <c r="O30" s="136"/>
      <c r="P30" s="31">
        <f t="shared" si="2"/>
        <v>483.1629610982078</v>
      </c>
      <c r="S30" s="13"/>
      <c r="U30" s="30"/>
      <c r="V30" s="140">
        <f t="shared" si="3"/>
        <v>633.478794095681</v>
      </c>
      <c r="W30" s="141">
        <f t="shared" si="3"/>
        <v>619.27656068036345</v>
      </c>
      <c r="X30" s="141">
        <f t="shared" si="3"/>
        <v>602.8447136589815</v>
      </c>
      <c r="Y30" s="141">
        <f t="shared" si="3"/>
        <v>626.89331836551207</v>
      </c>
      <c r="Z30" s="141">
        <f t="shared" si="3"/>
        <v>621.27718106774216</v>
      </c>
      <c r="AA30" s="141">
        <f t="shared" si="3"/>
        <v>599.47588387544886</v>
      </c>
      <c r="AB30" s="141">
        <f t="shared" si="3"/>
        <v>624.42236307593328</v>
      </c>
      <c r="AC30" s="141">
        <f t="shared" si="3"/>
        <v>633.66879925373064</v>
      </c>
      <c r="AD30" s="141">
        <f t="shared" si="3"/>
        <v>609.06801203527698</v>
      </c>
      <c r="AE30" s="142">
        <f t="shared" si="3"/>
        <v>602.47132159290504</v>
      </c>
      <c r="AF30" s="30"/>
      <c r="AG30" s="31">
        <f t="shared" si="4"/>
        <v>617.2876947701576</v>
      </c>
    </row>
    <row r="31" spans="2:33" x14ac:dyDescent="0.25">
      <c r="C31" s="105" t="s">
        <v>7</v>
      </c>
      <c r="D31" s="6"/>
      <c r="E31" s="99">
        <v>626.73793885515659</v>
      </c>
      <c r="F31" s="100">
        <v>560.22242945364314</v>
      </c>
      <c r="G31" s="100">
        <v>541.78786447409743</v>
      </c>
      <c r="H31" s="100">
        <v>636.70800475634246</v>
      </c>
      <c r="I31" s="100">
        <v>548.60228664447254</v>
      </c>
      <c r="J31" s="100">
        <v>514.30646119362791</v>
      </c>
      <c r="K31" s="100">
        <v>546.34544457983441</v>
      </c>
      <c r="L31" s="100">
        <v>571.60423762969981</v>
      </c>
      <c r="M31" s="100">
        <v>501.69293998241022</v>
      </c>
      <c r="N31" s="101">
        <v>564.04350368766961</v>
      </c>
      <c r="O31" s="136"/>
      <c r="P31" s="31">
        <f t="shared" si="2"/>
        <v>561.20511112569545</v>
      </c>
      <c r="S31" s="13"/>
      <c r="U31" s="30"/>
      <c r="V31" s="140">
        <f t="shared" si="3"/>
        <v>644.05284929045422</v>
      </c>
      <c r="W31" s="141">
        <f t="shared" si="3"/>
        <v>632.83339003208971</v>
      </c>
      <c r="X31" s="141">
        <f t="shared" si="3"/>
        <v>629.4874530865809</v>
      </c>
      <c r="Y31" s="141">
        <f t="shared" si="3"/>
        <v>645.63111592014377</v>
      </c>
      <c r="Z31" s="141">
        <f t="shared" si="3"/>
        <v>630.73737466400451</v>
      </c>
      <c r="AA31" s="141">
        <f t="shared" si="3"/>
        <v>624.28193157850353</v>
      </c>
      <c r="AB31" s="141">
        <f t="shared" si="3"/>
        <v>630.32514580664349</v>
      </c>
      <c r="AC31" s="141">
        <f t="shared" si="3"/>
        <v>634.8446859656118</v>
      </c>
      <c r="AD31" s="141">
        <f t="shared" si="3"/>
        <v>621.79882592014587</v>
      </c>
      <c r="AE31" s="142">
        <f t="shared" si="3"/>
        <v>633.51313827213653</v>
      </c>
      <c r="AF31" s="30"/>
      <c r="AG31" s="31">
        <f t="shared" si="4"/>
        <v>632.75059105363141</v>
      </c>
    </row>
    <row r="32" spans="2:33" x14ac:dyDescent="0.25">
      <c r="C32" s="105" t="s">
        <v>8</v>
      </c>
      <c r="D32" s="6"/>
      <c r="E32" s="99">
        <v>380.04579307099067</v>
      </c>
      <c r="F32" s="100">
        <v>301.27966734332068</v>
      </c>
      <c r="G32" s="100">
        <v>373.55858296759527</v>
      </c>
      <c r="H32" s="100">
        <v>314.63810400283342</v>
      </c>
      <c r="I32" s="100">
        <v>281.28191820975479</v>
      </c>
      <c r="J32" s="100">
        <v>307.24887400799685</v>
      </c>
      <c r="K32" s="100">
        <v>327.20065334060172</v>
      </c>
      <c r="L32" s="100">
        <v>288.67788355477541</v>
      </c>
      <c r="M32" s="100">
        <v>278.36266394507493</v>
      </c>
      <c r="N32" s="101">
        <v>285.12885237823406</v>
      </c>
      <c r="O32" s="136"/>
      <c r="P32" s="31">
        <f t="shared" si="2"/>
        <v>313.74229928211776</v>
      </c>
      <c r="S32" s="13"/>
      <c r="U32" s="30"/>
      <c r="V32" s="140">
        <f t="shared" si="3"/>
        <v>594.02917535414701</v>
      </c>
      <c r="W32" s="141">
        <f t="shared" si="3"/>
        <v>570.80389607636516</v>
      </c>
      <c r="X32" s="141">
        <f t="shared" si="3"/>
        <v>592.30748409148964</v>
      </c>
      <c r="Y32" s="141">
        <f t="shared" si="3"/>
        <v>575.14231021800026</v>
      </c>
      <c r="Z32" s="141">
        <f t="shared" si="3"/>
        <v>563.93574340474879</v>
      </c>
      <c r="AA32" s="141">
        <f t="shared" si="3"/>
        <v>572.76580836973517</v>
      </c>
      <c r="AB32" s="141">
        <f t="shared" si="3"/>
        <v>579.05736014888282</v>
      </c>
      <c r="AC32" s="141">
        <f t="shared" si="3"/>
        <v>566.53114767194427</v>
      </c>
      <c r="AD32" s="141">
        <f t="shared" si="3"/>
        <v>562.89248100741054</v>
      </c>
      <c r="AE32" s="142">
        <f t="shared" si="3"/>
        <v>565.29411917039272</v>
      </c>
      <c r="AF32" s="30"/>
      <c r="AG32" s="31">
        <f t="shared" si="4"/>
        <v>574.27595255131166</v>
      </c>
    </row>
    <row r="33" spans="3:33" x14ac:dyDescent="0.25">
      <c r="C33" s="105" t="s">
        <v>9</v>
      </c>
      <c r="D33" s="6"/>
      <c r="E33" s="99">
        <v>695.99480877335236</v>
      </c>
      <c r="F33" s="100">
        <v>490.86320166202768</v>
      </c>
      <c r="G33" s="100">
        <v>503.57156061765818</v>
      </c>
      <c r="H33" s="100">
        <v>553.05136521151087</v>
      </c>
      <c r="I33" s="100">
        <v>533.60951888686486</v>
      </c>
      <c r="J33" s="100">
        <v>576.23253404906586</v>
      </c>
      <c r="K33" s="100">
        <v>638.89612108824758</v>
      </c>
      <c r="L33" s="100">
        <v>552.42267062662461</v>
      </c>
      <c r="M33" s="100">
        <v>496.60496512548718</v>
      </c>
      <c r="N33" s="101">
        <v>583.43844005392668</v>
      </c>
      <c r="O33" s="136"/>
      <c r="P33" s="31">
        <f t="shared" si="2"/>
        <v>562.46851860947663</v>
      </c>
      <c r="S33" s="13"/>
      <c r="U33" s="30"/>
      <c r="V33" s="140">
        <f t="shared" si="3"/>
        <v>654.5342201647627</v>
      </c>
      <c r="W33" s="141">
        <f t="shared" si="3"/>
        <v>619.61654772887766</v>
      </c>
      <c r="X33" s="141">
        <f t="shared" si="3"/>
        <v>622.17258284104844</v>
      </c>
      <c r="Y33" s="141">
        <f t="shared" si="3"/>
        <v>631.54508818589329</v>
      </c>
      <c r="Z33" s="141">
        <f t="shared" si="3"/>
        <v>627.96643334356759</v>
      </c>
      <c r="AA33" s="141">
        <f t="shared" si="3"/>
        <v>635.65112841752693</v>
      </c>
      <c r="AB33" s="141">
        <f t="shared" si="3"/>
        <v>645.97418763553196</v>
      </c>
      <c r="AC33" s="141">
        <f t="shared" si="3"/>
        <v>631.43134609294771</v>
      </c>
      <c r="AD33" s="141">
        <f t="shared" si="3"/>
        <v>620.77948712630837</v>
      </c>
      <c r="AE33" s="142">
        <f t="shared" si="3"/>
        <v>636.89389449680402</v>
      </c>
      <c r="AF33" s="30"/>
      <c r="AG33" s="31">
        <f t="shared" si="4"/>
        <v>632.65649160332691</v>
      </c>
    </row>
    <row r="34" spans="3:33" x14ac:dyDescent="0.25">
      <c r="C34" s="105" t="s">
        <v>10</v>
      </c>
      <c r="D34" s="6"/>
      <c r="E34" s="99">
        <v>290.89893562071086</v>
      </c>
      <c r="F34" s="100">
        <v>277.86787292296543</v>
      </c>
      <c r="G34" s="100">
        <v>278.28380164411533</v>
      </c>
      <c r="H34" s="100">
        <v>280.50643289790895</v>
      </c>
      <c r="I34" s="100">
        <v>281.03066834193032</v>
      </c>
      <c r="J34" s="100">
        <v>301.44990612585042</v>
      </c>
      <c r="K34" s="100">
        <v>334.89807138077538</v>
      </c>
      <c r="L34" s="100">
        <v>309.86171460866842</v>
      </c>
      <c r="M34" s="100">
        <v>266.6455185522633</v>
      </c>
      <c r="N34" s="101">
        <v>327.48241727308601</v>
      </c>
      <c r="O34" s="136"/>
      <c r="P34" s="31">
        <f t="shared" si="2"/>
        <v>294.89253393682742</v>
      </c>
      <c r="S34" s="13"/>
      <c r="U34" s="30"/>
      <c r="V34" s="140">
        <f t="shared" si="3"/>
        <v>567.29759065763142</v>
      </c>
      <c r="W34" s="141">
        <f t="shared" si="3"/>
        <v>562.71457234550826</v>
      </c>
      <c r="X34" s="141">
        <f t="shared" si="3"/>
        <v>562.86414621814572</v>
      </c>
      <c r="Y34" s="141">
        <f t="shared" si="3"/>
        <v>563.65966583821626</v>
      </c>
      <c r="Z34" s="141">
        <f t="shared" si="3"/>
        <v>563.84638033852775</v>
      </c>
      <c r="AA34" s="141">
        <f t="shared" si="3"/>
        <v>570.86038535266766</v>
      </c>
      <c r="AB34" s="141">
        <f t="shared" si="3"/>
        <v>581.3826220992222</v>
      </c>
      <c r="AC34" s="141">
        <f t="shared" si="3"/>
        <v>573.61261160475385</v>
      </c>
      <c r="AD34" s="141">
        <f t="shared" si="3"/>
        <v>558.59201304259636</v>
      </c>
      <c r="AE34" s="142">
        <f t="shared" si="3"/>
        <v>579.14343659183021</v>
      </c>
      <c r="AF34" s="30"/>
      <c r="AG34" s="31">
        <f t="shared" si="4"/>
        <v>568.39734240890994</v>
      </c>
    </row>
    <row r="35" spans="3:33" x14ac:dyDescent="0.25">
      <c r="C35" s="105" t="s">
        <v>11</v>
      </c>
      <c r="D35" s="6"/>
      <c r="E35" s="99">
        <v>366.80955436007827</v>
      </c>
      <c r="F35" s="100">
        <v>426.36153660164331</v>
      </c>
      <c r="G35" s="100">
        <v>396.25347175689848</v>
      </c>
      <c r="H35" s="100">
        <v>309.99094912349909</v>
      </c>
      <c r="I35" s="100">
        <v>346.72449925515525</v>
      </c>
      <c r="J35" s="100">
        <v>315.91541425553191</v>
      </c>
      <c r="K35" s="100">
        <v>418.17114495876274</v>
      </c>
      <c r="L35" s="100">
        <v>331.15936825732655</v>
      </c>
      <c r="M35" s="100">
        <v>371.5090297165321</v>
      </c>
      <c r="N35" s="101">
        <v>371.0402699947989</v>
      </c>
      <c r="O35" s="136"/>
      <c r="P35" s="31">
        <f t="shared" si="2"/>
        <v>365.39352382802269</v>
      </c>
      <c r="S35" s="13"/>
      <c r="U35" s="30"/>
      <c r="V35" s="140">
        <f t="shared" si="3"/>
        <v>590.48427879167832</v>
      </c>
      <c r="W35" s="141">
        <f t="shared" si="3"/>
        <v>605.52876638149189</v>
      </c>
      <c r="X35" s="141">
        <f t="shared" si="3"/>
        <v>598.20540866847136</v>
      </c>
      <c r="Y35" s="141">
        <f t="shared" si="3"/>
        <v>573.65431006771598</v>
      </c>
      <c r="Z35" s="141">
        <f t="shared" si="3"/>
        <v>584.85305143280902</v>
      </c>
      <c r="AA35" s="141">
        <f t="shared" si="3"/>
        <v>575.54745013486445</v>
      </c>
      <c r="AB35" s="141">
        <f t="shared" si="3"/>
        <v>603.58907864284026</v>
      </c>
      <c r="AC35" s="141">
        <f t="shared" si="3"/>
        <v>580.25997346027827</v>
      </c>
      <c r="AD35" s="141">
        <f t="shared" si="3"/>
        <v>591.75731699634537</v>
      </c>
      <c r="AE35" s="142">
        <f t="shared" si="3"/>
        <v>591.63106011772857</v>
      </c>
      <c r="AF35" s="30"/>
      <c r="AG35" s="31">
        <f t="shared" si="4"/>
        <v>589.55106946942237</v>
      </c>
    </row>
    <row r="36" spans="3:33" x14ac:dyDescent="0.25">
      <c r="C36" s="105" t="s">
        <v>12</v>
      </c>
      <c r="D36" s="6"/>
      <c r="E36" s="99">
        <v>435.75907881679689</v>
      </c>
      <c r="F36" s="100">
        <v>396.50840297969739</v>
      </c>
      <c r="G36" s="100">
        <v>382.85245573190463</v>
      </c>
      <c r="H36" s="100">
        <v>414.24043257194018</v>
      </c>
      <c r="I36" s="100">
        <v>423.39688455081472</v>
      </c>
      <c r="J36" s="100">
        <v>442.90325467249238</v>
      </c>
      <c r="K36" s="100">
        <v>350.07965999651958</v>
      </c>
      <c r="L36" s="100">
        <v>395.92773242733301</v>
      </c>
      <c r="M36" s="100">
        <v>433.98923901013148</v>
      </c>
      <c r="N36" s="101">
        <v>396.4816884200128</v>
      </c>
      <c r="O36" s="136"/>
      <c r="P36" s="31">
        <f t="shared" si="2"/>
        <v>407.21388291776429</v>
      </c>
      <c r="S36" s="13"/>
      <c r="U36" s="30"/>
      <c r="V36" s="140">
        <f t="shared" si="3"/>
        <v>607.70895191040199</v>
      </c>
      <c r="W36" s="141">
        <f t="shared" si="3"/>
        <v>598.26972337373411</v>
      </c>
      <c r="X36" s="141">
        <f t="shared" si="3"/>
        <v>594.7649681883355</v>
      </c>
      <c r="Y36" s="141">
        <f t="shared" si="3"/>
        <v>602.6446560257076</v>
      </c>
      <c r="Z36" s="141">
        <f t="shared" si="3"/>
        <v>604.83100005036761</v>
      </c>
      <c r="AA36" s="141">
        <f t="shared" si="3"/>
        <v>609.33513594514693</v>
      </c>
      <c r="AB36" s="141">
        <f t="shared" si="3"/>
        <v>585.81607285765665</v>
      </c>
      <c r="AC36" s="141">
        <f t="shared" si="3"/>
        <v>598.12317007300771</v>
      </c>
      <c r="AD36" s="141">
        <f t="shared" si="3"/>
        <v>607.30197388854754</v>
      </c>
      <c r="AE36" s="142">
        <f t="shared" si="3"/>
        <v>598.26298569567621</v>
      </c>
      <c r="AF36" s="30"/>
      <c r="AG36" s="31">
        <f t="shared" si="4"/>
        <v>600.7058638008582</v>
      </c>
    </row>
    <row r="37" spans="3:33" x14ac:dyDescent="0.25">
      <c r="C37" s="105" t="s">
        <v>13</v>
      </c>
      <c r="D37" s="6"/>
      <c r="E37" s="99">
        <v>648.09234472850108</v>
      </c>
      <c r="F37" s="100">
        <v>605.84944169791117</v>
      </c>
      <c r="G37" s="100">
        <v>509.07728245787911</v>
      </c>
      <c r="H37" s="100">
        <v>568.01241915908906</v>
      </c>
      <c r="I37" s="100">
        <v>493.67136866698792</v>
      </c>
      <c r="J37" s="100">
        <v>463.90439604674185</v>
      </c>
      <c r="K37" s="100">
        <v>504.99355513495584</v>
      </c>
      <c r="L37" s="100">
        <v>507.32910967928933</v>
      </c>
      <c r="M37" s="100">
        <v>400.26245338662358</v>
      </c>
      <c r="N37" s="101">
        <v>437.11166350980409</v>
      </c>
      <c r="O37" s="136"/>
      <c r="P37" s="31">
        <f t="shared" si="2"/>
        <v>513.8304034467784</v>
      </c>
      <c r="S37" s="13"/>
      <c r="U37" s="30"/>
      <c r="V37" s="140">
        <f t="shared" si="3"/>
        <v>647.40331934961443</v>
      </c>
      <c r="W37" s="141">
        <f t="shared" si="3"/>
        <v>640.66315091584329</v>
      </c>
      <c r="X37" s="141">
        <f t="shared" si="3"/>
        <v>623.25998369660431</v>
      </c>
      <c r="Y37" s="141">
        <f t="shared" si="3"/>
        <v>634.21432831988284</v>
      </c>
      <c r="Z37" s="141">
        <f t="shared" si="3"/>
        <v>620.18700502004901</v>
      </c>
      <c r="AA37" s="141">
        <f t="shared" si="3"/>
        <v>613.96784879937684</v>
      </c>
      <c r="AB37" s="141">
        <f t="shared" si="3"/>
        <v>622.45456670849251</v>
      </c>
      <c r="AC37" s="141">
        <f t="shared" si="3"/>
        <v>622.91599245137866</v>
      </c>
      <c r="AD37" s="141">
        <f t="shared" si="3"/>
        <v>599.21204654130895</v>
      </c>
      <c r="AE37" s="142">
        <f t="shared" si="3"/>
        <v>608.01886853609028</v>
      </c>
      <c r="AF37" s="30"/>
      <c r="AG37" s="31">
        <f t="shared" si="4"/>
        <v>623.22971103386408</v>
      </c>
    </row>
    <row r="38" spans="3:33" x14ac:dyDescent="0.25">
      <c r="C38" s="105" t="s">
        <v>14</v>
      </c>
      <c r="D38" s="6"/>
      <c r="E38" s="99">
        <v>509.88659187329466</v>
      </c>
      <c r="F38" s="100">
        <v>503.75319507651602</v>
      </c>
      <c r="G38" s="100">
        <v>457.19412705180667</v>
      </c>
      <c r="H38" s="100">
        <v>583.30330320538962</v>
      </c>
      <c r="I38" s="100">
        <v>442.02312416680303</v>
      </c>
      <c r="J38" s="100">
        <v>447.43941312176406</v>
      </c>
      <c r="K38" s="100">
        <v>531.741590675569</v>
      </c>
      <c r="L38" s="100">
        <v>516.87488151664456</v>
      </c>
      <c r="M38" s="100">
        <v>494.2564063537468</v>
      </c>
      <c r="N38" s="101">
        <v>509.59646862828987</v>
      </c>
      <c r="O38" s="136"/>
      <c r="P38" s="31">
        <f t="shared" si="2"/>
        <v>499.6069101669824</v>
      </c>
      <c r="S38" s="13"/>
      <c r="U38" s="30"/>
      <c r="V38" s="140">
        <f t="shared" si="3"/>
        <v>623.41883321148543</v>
      </c>
      <c r="W38" s="141">
        <f t="shared" si="3"/>
        <v>622.2086455824433</v>
      </c>
      <c r="X38" s="141">
        <f t="shared" si="3"/>
        <v>612.5108086369662</v>
      </c>
      <c r="Y38" s="141">
        <f t="shared" si="3"/>
        <v>636.87072967049664</v>
      </c>
      <c r="Z38" s="141">
        <f t="shared" si="3"/>
        <v>609.13621978286687</v>
      </c>
      <c r="AA38" s="141">
        <f t="shared" si="3"/>
        <v>610.35411388768659</v>
      </c>
      <c r="AB38" s="141">
        <f t="shared" si="3"/>
        <v>627.61576395228929</v>
      </c>
      <c r="AC38" s="141">
        <f t="shared" si="3"/>
        <v>624.78008365477376</v>
      </c>
      <c r="AD38" s="141">
        <f t="shared" si="3"/>
        <v>620.30544237345464</v>
      </c>
      <c r="AE38" s="142">
        <f t="shared" si="3"/>
        <v>623.36191745406347</v>
      </c>
      <c r="AF38" s="30"/>
      <c r="AG38" s="31">
        <f t="shared" si="4"/>
        <v>621.05625582065272</v>
      </c>
    </row>
    <row r="39" spans="3:33" x14ac:dyDescent="0.25">
      <c r="C39" s="105" t="s">
        <v>15</v>
      </c>
      <c r="D39" s="6"/>
      <c r="E39" s="99">
        <v>249.32485595106789</v>
      </c>
      <c r="F39" s="100">
        <v>272.15991293262857</v>
      </c>
      <c r="G39" s="100">
        <v>285.98133015088513</v>
      </c>
      <c r="H39" s="100">
        <v>237.57743797913281</v>
      </c>
      <c r="I39" s="100">
        <v>299.00936610469097</v>
      </c>
      <c r="J39" s="100">
        <v>259.76267742797353</v>
      </c>
      <c r="K39" s="100">
        <v>316.98432810237972</v>
      </c>
      <c r="L39" s="100">
        <v>298.0977064847512</v>
      </c>
      <c r="M39" s="100">
        <v>258.64513959238707</v>
      </c>
      <c r="N39" s="101">
        <v>267.55437452930613</v>
      </c>
      <c r="O39" s="136"/>
      <c r="P39" s="31">
        <f t="shared" si="2"/>
        <v>274.50971292552032</v>
      </c>
      <c r="S39" s="13"/>
      <c r="U39" s="30"/>
      <c r="V39" s="140">
        <f t="shared" si="3"/>
        <v>551.87566885320962</v>
      </c>
      <c r="W39" s="141">
        <f t="shared" si="3"/>
        <v>560.63898087350537</v>
      </c>
      <c r="X39" s="141">
        <f t="shared" si="3"/>
        <v>565.59265294963643</v>
      </c>
      <c r="Y39" s="141">
        <f t="shared" si="3"/>
        <v>547.04936249794105</v>
      </c>
      <c r="Z39" s="141">
        <f t="shared" si="3"/>
        <v>570.04748976649284</v>
      </c>
      <c r="AA39" s="141">
        <f t="shared" si="3"/>
        <v>555.97684350558131</v>
      </c>
      <c r="AB39" s="141">
        <f t="shared" si="3"/>
        <v>575.8852334492334</v>
      </c>
      <c r="AC39" s="141">
        <f t="shared" si="3"/>
        <v>569.74213068763379</v>
      </c>
      <c r="AD39" s="141">
        <f t="shared" si="3"/>
        <v>555.54570048265566</v>
      </c>
      <c r="AE39" s="142">
        <f t="shared" si="3"/>
        <v>558.93228149480967</v>
      </c>
      <c r="AF39" s="30"/>
      <c r="AG39" s="31">
        <f t="shared" si="4"/>
        <v>561.1286344560699</v>
      </c>
    </row>
    <row r="40" spans="3:33" x14ac:dyDescent="0.25">
      <c r="C40" s="105" t="s">
        <v>16</v>
      </c>
      <c r="D40" s="6"/>
      <c r="E40" s="99">
        <v>335.52584324736887</v>
      </c>
      <c r="F40" s="100">
        <v>292.65210968495842</v>
      </c>
      <c r="G40" s="100">
        <v>290.77836067702009</v>
      </c>
      <c r="H40" s="100">
        <v>348.20663384273956</v>
      </c>
      <c r="I40" s="100">
        <v>387.07943677488606</v>
      </c>
      <c r="J40" s="100">
        <v>309.74425148888417</v>
      </c>
      <c r="K40" s="100">
        <v>390.59758010879824</v>
      </c>
      <c r="L40" s="100">
        <v>389.63886363350935</v>
      </c>
      <c r="M40" s="100">
        <v>377.29569364470655</v>
      </c>
      <c r="N40" s="101">
        <v>354.80170983029643</v>
      </c>
      <c r="O40" s="136"/>
      <c r="P40" s="31">
        <f t="shared" si="2"/>
        <v>347.63204829331681</v>
      </c>
      <c r="S40" s="13"/>
      <c r="U40" s="30"/>
      <c r="V40" s="140">
        <f t="shared" si="3"/>
        <v>581.56989824984123</v>
      </c>
      <c r="W40" s="141">
        <f t="shared" si="3"/>
        <v>567.89845646125218</v>
      </c>
      <c r="X40" s="141">
        <f t="shared" si="3"/>
        <v>567.25613298129258</v>
      </c>
      <c r="Y40" s="141">
        <f t="shared" si="3"/>
        <v>585.27960789697784</v>
      </c>
      <c r="Z40" s="141">
        <f t="shared" si="3"/>
        <v>595.86299349504191</v>
      </c>
      <c r="AA40" s="141">
        <f t="shared" si="3"/>
        <v>573.57469617862216</v>
      </c>
      <c r="AB40" s="141">
        <f t="shared" si="3"/>
        <v>596.76778231054107</v>
      </c>
      <c r="AC40" s="141">
        <f t="shared" si="3"/>
        <v>596.52203194461595</v>
      </c>
      <c r="AD40" s="141">
        <f t="shared" si="3"/>
        <v>593.30292132944919</v>
      </c>
      <c r="AE40" s="142">
        <f t="shared" si="3"/>
        <v>587.15590695621904</v>
      </c>
      <c r="AF40" s="30"/>
      <c r="AG40" s="31">
        <f t="shared" si="4"/>
        <v>584.51904278038523</v>
      </c>
    </row>
    <row r="41" spans="3:33" x14ac:dyDescent="0.25">
      <c r="C41" s="105" t="s">
        <v>17</v>
      </c>
      <c r="D41" s="6"/>
      <c r="E41" s="99">
        <v>479.66446386426537</v>
      </c>
      <c r="F41" s="100">
        <v>456.38421187702926</v>
      </c>
      <c r="G41" s="100">
        <v>459.26381187410834</v>
      </c>
      <c r="H41" s="100">
        <v>491.97523616098329</v>
      </c>
      <c r="I41" s="100">
        <v>457.9951475540804</v>
      </c>
      <c r="J41" s="100">
        <v>420.92768955009331</v>
      </c>
      <c r="K41" s="100">
        <v>508.96627675867177</v>
      </c>
      <c r="L41" s="100">
        <v>441.36445709378495</v>
      </c>
      <c r="M41" s="100">
        <v>468.79961802464317</v>
      </c>
      <c r="N41" s="101">
        <v>486.67096375452019</v>
      </c>
      <c r="O41" s="136"/>
      <c r="P41" s="31">
        <f t="shared" si="2"/>
        <v>467.20118765121799</v>
      </c>
      <c r="S41" s="13"/>
      <c r="U41" s="30"/>
      <c r="V41" s="140">
        <f t="shared" si="3"/>
        <v>617.3086825847904</v>
      </c>
      <c r="W41" s="141">
        <f t="shared" si="3"/>
        <v>612.333502465739</v>
      </c>
      <c r="X41" s="141">
        <f t="shared" si="3"/>
        <v>612.96247984913532</v>
      </c>
      <c r="Y41" s="141">
        <f t="shared" si="3"/>
        <v>619.84283822194288</v>
      </c>
      <c r="Z41" s="141">
        <f t="shared" si="3"/>
        <v>612.68585891979728</v>
      </c>
      <c r="AA41" s="141">
        <f t="shared" si="3"/>
        <v>604.24610601417749</v>
      </c>
      <c r="AB41" s="141">
        <f t="shared" si="3"/>
        <v>623.23817604433987</v>
      </c>
      <c r="AC41" s="141">
        <f t="shared" si="3"/>
        <v>608.98709674581028</v>
      </c>
      <c r="AD41" s="141">
        <f t="shared" si="3"/>
        <v>615.01754234686211</v>
      </c>
      <c r="AE41" s="142">
        <f t="shared" si="3"/>
        <v>618.75882556278668</v>
      </c>
      <c r="AF41" s="30"/>
      <c r="AG41" s="31">
        <f t="shared" si="4"/>
        <v>614.53811087553811</v>
      </c>
    </row>
    <row r="42" spans="3:33" x14ac:dyDescent="0.25">
      <c r="C42" s="105" t="s">
        <v>18</v>
      </c>
      <c r="D42" s="6"/>
      <c r="E42" s="99">
        <v>357.54110781674973</v>
      </c>
      <c r="F42" s="100">
        <v>298.42244452083912</v>
      </c>
      <c r="G42" s="100">
        <v>270.57192164365449</v>
      </c>
      <c r="H42" s="100">
        <v>362.7488327516636</v>
      </c>
      <c r="I42" s="100">
        <v>321.25643719244226</v>
      </c>
      <c r="J42" s="100">
        <v>299.86655115915306</v>
      </c>
      <c r="K42" s="100">
        <v>366.13151959593313</v>
      </c>
      <c r="L42" s="100">
        <v>330.66196693840698</v>
      </c>
      <c r="M42" s="100">
        <v>265.5910714195993</v>
      </c>
      <c r="N42" s="101">
        <v>327.69725549049588</v>
      </c>
      <c r="O42" s="136"/>
      <c r="P42" s="31">
        <f t="shared" si="2"/>
        <v>320.04891085289375</v>
      </c>
      <c r="S42" s="13"/>
      <c r="U42" s="30"/>
      <c r="V42" s="140">
        <f t="shared" si="3"/>
        <v>587.92503424235747</v>
      </c>
      <c r="W42" s="141">
        <f t="shared" si="3"/>
        <v>569.85100817236582</v>
      </c>
      <c r="X42" s="141">
        <f t="shared" si="3"/>
        <v>560.05379470256821</v>
      </c>
      <c r="Y42" s="141">
        <f t="shared" si="3"/>
        <v>589.37106739828653</v>
      </c>
      <c r="Z42" s="141">
        <f t="shared" si="3"/>
        <v>577.22396739618</v>
      </c>
      <c r="AA42" s="141">
        <f t="shared" si="3"/>
        <v>570.33375462207334</v>
      </c>
      <c r="AB42" s="141">
        <f t="shared" si="3"/>
        <v>590.29926120113635</v>
      </c>
      <c r="AC42" s="141">
        <f t="shared" si="3"/>
        <v>580.10966056278767</v>
      </c>
      <c r="AD42" s="141">
        <f t="shared" si="3"/>
        <v>558.19578003941524</v>
      </c>
      <c r="AE42" s="142">
        <f t="shared" si="3"/>
        <v>579.20901806025506</v>
      </c>
      <c r="AF42" s="30"/>
      <c r="AG42" s="31">
        <f t="shared" si="4"/>
        <v>576.25723463974259</v>
      </c>
    </row>
    <row r="43" spans="3:33" x14ac:dyDescent="0.25">
      <c r="C43" s="105" t="s">
        <v>19</v>
      </c>
      <c r="D43" s="6"/>
      <c r="E43" s="99">
        <v>775.36620712495733</v>
      </c>
      <c r="F43" s="100">
        <v>708.62381094854993</v>
      </c>
      <c r="G43" s="100">
        <v>604.01915288204577</v>
      </c>
      <c r="H43" s="100">
        <v>576.40178084826709</v>
      </c>
      <c r="I43" s="100">
        <v>722.85890264052034</v>
      </c>
      <c r="J43" s="100">
        <v>577.06066775382419</v>
      </c>
      <c r="K43" s="100">
        <v>646.37724636859002</v>
      </c>
      <c r="L43" s="100">
        <v>740.5099357185286</v>
      </c>
      <c r="M43" s="100">
        <v>637.88338985405517</v>
      </c>
      <c r="N43" s="101">
        <v>564.05840284628493</v>
      </c>
      <c r="O43" s="136"/>
      <c r="P43" s="31">
        <f t="shared" si="2"/>
        <v>655.31594969856235</v>
      </c>
      <c r="S43" s="13"/>
      <c r="U43" s="30"/>
      <c r="V43" s="140">
        <f t="shared" si="3"/>
        <v>665.3335443070938</v>
      </c>
      <c r="W43" s="141">
        <f t="shared" si="3"/>
        <v>656.33247946731183</v>
      </c>
      <c r="X43" s="141">
        <f t="shared" si="3"/>
        <v>640.36059075016738</v>
      </c>
      <c r="Y43" s="141">
        <f t="shared" si="3"/>
        <v>635.6804953725499</v>
      </c>
      <c r="Z43" s="141">
        <f t="shared" si="3"/>
        <v>658.32140477061682</v>
      </c>
      <c r="AA43" s="141">
        <f t="shared" si="3"/>
        <v>635.7947404401757</v>
      </c>
      <c r="AB43" s="141">
        <f t="shared" si="3"/>
        <v>647.138330604369</v>
      </c>
      <c r="AC43" s="141">
        <f t="shared" si="3"/>
        <v>660.73390511985656</v>
      </c>
      <c r="AD43" s="141">
        <f t="shared" si="3"/>
        <v>645.81554921160671</v>
      </c>
      <c r="AE43" s="142">
        <f t="shared" si="3"/>
        <v>633.51577972829045</v>
      </c>
      <c r="AF43" s="30"/>
      <c r="AG43" s="31">
        <f t="shared" si="4"/>
        <v>647.90268197720377</v>
      </c>
    </row>
    <row r="44" spans="3:33" x14ac:dyDescent="0.25">
      <c r="C44" s="105" t="s">
        <v>20</v>
      </c>
      <c r="D44" s="6"/>
      <c r="E44" s="99">
        <v>208.29532521626069</v>
      </c>
      <c r="F44" s="100">
        <v>269.12070046707902</v>
      </c>
      <c r="G44" s="100">
        <v>278.48203638621538</v>
      </c>
      <c r="H44" s="100">
        <v>264.19820005714678</v>
      </c>
      <c r="I44" s="100">
        <v>238.39905419203768</v>
      </c>
      <c r="J44" s="100">
        <v>278.22212379860088</v>
      </c>
      <c r="K44" s="100">
        <v>297.8137259373072</v>
      </c>
      <c r="L44" s="100">
        <v>283.39943029535203</v>
      </c>
      <c r="M44" s="100">
        <v>273.72334324716047</v>
      </c>
      <c r="N44" s="101">
        <v>238.03641650468705</v>
      </c>
      <c r="O44" s="136"/>
      <c r="P44" s="31">
        <f t="shared" si="2"/>
        <v>262.96903561018473</v>
      </c>
      <c r="S44" s="13"/>
      <c r="U44" s="30"/>
      <c r="V44" s="140">
        <f t="shared" si="3"/>
        <v>533.89569054623314</v>
      </c>
      <c r="W44" s="141">
        <f t="shared" si="3"/>
        <v>559.51599795869299</v>
      </c>
      <c r="X44" s="141">
        <f t="shared" si="3"/>
        <v>562.93535559808117</v>
      </c>
      <c r="Y44" s="141">
        <f t="shared" si="3"/>
        <v>557.66995792608793</v>
      </c>
      <c r="Z44" s="141">
        <f t="shared" si="3"/>
        <v>547.39459678680464</v>
      </c>
      <c r="AA44" s="141">
        <f t="shared" si="3"/>
        <v>562.84198011246849</v>
      </c>
      <c r="AB44" s="141">
        <f t="shared" si="3"/>
        <v>569.64682103136931</v>
      </c>
      <c r="AC44" s="141">
        <f t="shared" si="3"/>
        <v>564.6857317005273</v>
      </c>
      <c r="AD44" s="141">
        <f t="shared" si="3"/>
        <v>561.21179001232542</v>
      </c>
      <c r="AE44" s="142">
        <f t="shared" si="3"/>
        <v>547.2423672490454</v>
      </c>
      <c r="AF44" s="30"/>
      <c r="AG44" s="31">
        <f t="shared" si="4"/>
        <v>556.70402889216371</v>
      </c>
    </row>
    <row r="45" spans="3:33" x14ac:dyDescent="0.25">
      <c r="C45" s="105" t="s">
        <v>22</v>
      </c>
      <c r="D45" s="6"/>
      <c r="E45" s="99">
        <v>399.48995067433083</v>
      </c>
      <c r="F45" s="100">
        <v>312.56297685591773</v>
      </c>
      <c r="G45" s="100">
        <v>449.92470566121381</v>
      </c>
      <c r="H45" s="100">
        <v>355.11607678559182</v>
      </c>
      <c r="I45" s="100">
        <v>423.7425019048091</v>
      </c>
      <c r="J45" s="100">
        <v>396.19202595123187</v>
      </c>
      <c r="K45" s="100">
        <v>448.40419895861174</v>
      </c>
      <c r="L45" s="100">
        <v>382.683496057963</v>
      </c>
      <c r="M45" s="100">
        <v>397.08271338552964</v>
      </c>
      <c r="N45" s="101">
        <v>412.09404397311363</v>
      </c>
      <c r="O45" s="136"/>
      <c r="P45" s="31">
        <f t="shared" si="2"/>
        <v>397.72926902083128</v>
      </c>
      <c r="S45" s="13"/>
      <c r="U45" s="30"/>
      <c r="V45" s="140">
        <f t="shared" si="3"/>
        <v>599.01886101323237</v>
      </c>
      <c r="W45" s="141">
        <f t="shared" si="3"/>
        <v>574.4805974811768</v>
      </c>
      <c r="X45" s="141">
        <f t="shared" si="3"/>
        <v>610.90802480118282</v>
      </c>
      <c r="Y45" s="141">
        <f t="shared" si="3"/>
        <v>587.24447128909537</v>
      </c>
      <c r="Z45" s="141">
        <f t="shared" si="3"/>
        <v>604.91259639181885</v>
      </c>
      <c r="AA45" s="141">
        <f t="shared" si="3"/>
        <v>598.18990077399349</v>
      </c>
      <c r="AB45" s="141">
        <f t="shared" si="3"/>
        <v>610.56950554686375</v>
      </c>
      <c r="AC45" s="141">
        <f t="shared" si="3"/>
        <v>594.72082664898915</v>
      </c>
      <c r="AD45" s="141">
        <f t="shared" si="3"/>
        <v>598.41446050454329</v>
      </c>
      <c r="AE45" s="142">
        <f t="shared" si="3"/>
        <v>602.12515853723676</v>
      </c>
      <c r="AF45" s="30"/>
      <c r="AG45" s="31">
        <f t="shared" si="4"/>
        <v>598.05844029881314</v>
      </c>
    </row>
    <row r="46" spans="3:33" x14ac:dyDescent="0.25">
      <c r="C46" s="105" t="s">
        <v>21</v>
      </c>
      <c r="D46" s="6"/>
      <c r="E46" s="99">
        <v>261.44126362856531</v>
      </c>
      <c r="F46" s="100">
        <v>289.34129870572133</v>
      </c>
      <c r="G46" s="100">
        <v>256.9536564110872</v>
      </c>
      <c r="H46" s="100">
        <v>248.22442306912228</v>
      </c>
      <c r="I46" s="100">
        <v>228.41431149439617</v>
      </c>
      <c r="J46" s="100">
        <v>241.66993250511882</v>
      </c>
      <c r="K46" s="100">
        <v>251.41503438442484</v>
      </c>
      <c r="L46" s="100">
        <v>265.53943989630324</v>
      </c>
      <c r="M46" s="100">
        <v>304.51907885405302</v>
      </c>
      <c r="N46" s="101">
        <v>251.70877786702152</v>
      </c>
      <c r="O46" s="136"/>
      <c r="P46" s="31">
        <f t="shared" si="2"/>
        <v>259.92272168158138</v>
      </c>
      <c r="S46" s="13"/>
      <c r="U46" s="30"/>
      <c r="V46" s="140">
        <f t="shared" si="3"/>
        <v>556.62096450005527</v>
      </c>
      <c r="W46" s="141">
        <f t="shared" si="3"/>
        <v>566.76069557021935</v>
      </c>
      <c r="X46" s="141">
        <f t="shared" si="3"/>
        <v>554.88957433859798</v>
      </c>
      <c r="Y46" s="141">
        <f t="shared" si="3"/>
        <v>551.43332686914448</v>
      </c>
      <c r="Z46" s="141">
        <f t="shared" si="3"/>
        <v>543.11611356016329</v>
      </c>
      <c r="AA46" s="141">
        <f t="shared" si="3"/>
        <v>548.75728799095396</v>
      </c>
      <c r="AB46" s="141">
        <f t="shared" si="3"/>
        <v>552.710509701094</v>
      </c>
      <c r="AC46" s="141">
        <f t="shared" si="3"/>
        <v>558.17633791648734</v>
      </c>
      <c r="AD46" s="141">
        <f t="shared" si="3"/>
        <v>571.87337415222748</v>
      </c>
      <c r="AE46" s="142">
        <f t="shared" si="3"/>
        <v>552.82727758558667</v>
      </c>
      <c r="AF46" s="30"/>
      <c r="AG46" s="31">
        <f t="shared" si="4"/>
        <v>555.716546218453</v>
      </c>
    </row>
    <row r="47" spans="3:33" x14ac:dyDescent="0.25">
      <c r="C47" s="105" t="s">
        <v>23</v>
      </c>
      <c r="D47" s="6"/>
      <c r="E47" s="102">
        <v>543.78940592632011</v>
      </c>
      <c r="F47" s="103">
        <v>510.79539485751781</v>
      </c>
      <c r="G47" s="103">
        <v>448.1429409968141</v>
      </c>
      <c r="H47" s="103">
        <v>512.1218143859054</v>
      </c>
      <c r="I47" s="103">
        <v>518.75397695052857</v>
      </c>
      <c r="J47" s="103">
        <v>464.34589155309311</v>
      </c>
      <c r="K47" s="103">
        <v>520.64993439466127</v>
      </c>
      <c r="L47" s="103">
        <v>507.3685203988411</v>
      </c>
      <c r="M47" s="103">
        <v>503.24878872418935</v>
      </c>
      <c r="N47" s="104">
        <v>458.46080851823007</v>
      </c>
      <c r="O47" s="136"/>
      <c r="P47" s="31">
        <f t="shared" si="2"/>
        <v>498.76774767061005</v>
      </c>
      <c r="S47" s="13"/>
      <c r="U47" s="30"/>
      <c r="V47" s="143">
        <f t="shared" si="3"/>
        <v>629.85620504461167</v>
      </c>
      <c r="W47" s="144">
        <f t="shared" si="3"/>
        <v>623.59691085686404</v>
      </c>
      <c r="X47" s="144">
        <f t="shared" si="3"/>
        <v>610.51122462496915</v>
      </c>
      <c r="Y47" s="144">
        <f t="shared" si="3"/>
        <v>623.8562515463808</v>
      </c>
      <c r="Z47" s="144">
        <f t="shared" si="3"/>
        <v>625.14297379261791</v>
      </c>
      <c r="AA47" s="144">
        <f t="shared" si="3"/>
        <v>614.0629730445379</v>
      </c>
      <c r="AB47" s="144">
        <f t="shared" si="3"/>
        <v>625.50779049692926</v>
      </c>
      <c r="AC47" s="144">
        <f t="shared" si="3"/>
        <v>622.92376042449757</v>
      </c>
      <c r="AD47" s="144">
        <f t="shared" si="3"/>
        <v>622.10846576102767</v>
      </c>
      <c r="AE47" s="145">
        <f t="shared" si="3"/>
        <v>612.78748104383681</v>
      </c>
      <c r="AF47" s="30"/>
      <c r="AG47" s="31">
        <f t="shared" si="4"/>
        <v>621.03540366362722</v>
      </c>
    </row>
    <row r="48" spans="3:33" x14ac:dyDescent="0.25">
      <c r="C48" s="133"/>
      <c r="D48" s="146"/>
      <c r="E48" s="147"/>
      <c r="F48" s="147"/>
      <c r="G48" s="147"/>
      <c r="H48" s="147"/>
      <c r="I48" s="147"/>
      <c r="J48" s="147"/>
      <c r="K48" s="147"/>
      <c r="L48" s="147"/>
      <c r="M48" s="147"/>
      <c r="N48" s="147"/>
      <c r="O48" s="147"/>
      <c r="P48" s="32"/>
      <c r="R48" s="13"/>
      <c r="S48" s="13"/>
      <c r="U48" s="32"/>
      <c r="V48" s="32"/>
      <c r="W48" s="32"/>
      <c r="X48" s="32"/>
      <c r="Y48" s="32"/>
      <c r="Z48" s="32"/>
      <c r="AA48" s="32"/>
      <c r="AB48" s="32"/>
      <c r="AF48" s="32"/>
      <c r="AG48" s="32"/>
    </row>
    <row r="49" spans="3:34" x14ac:dyDescent="0.25">
      <c r="F49" s="30"/>
      <c r="G49" s="30"/>
      <c r="H49" s="30"/>
      <c r="I49" s="30"/>
      <c r="J49" s="30"/>
      <c r="K49" s="30"/>
      <c r="L49" s="30"/>
      <c r="M49" s="30"/>
      <c r="N49" s="30"/>
      <c r="O49" s="148" t="s">
        <v>2</v>
      </c>
      <c r="P49" s="149">
        <f>AVERAGE(P27:P47)</f>
        <v>416.99454286384162</v>
      </c>
      <c r="Q49" s="150" t="s">
        <v>1</v>
      </c>
      <c r="R49" s="13"/>
      <c r="S49" s="13"/>
      <c r="U49" s="30"/>
      <c r="V49" s="30"/>
      <c r="W49" s="30"/>
      <c r="X49" s="30"/>
      <c r="Y49" s="30"/>
      <c r="Z49" s="30"/>
      <c r="AA49" s="30"/>
      <c r="AB49" s="30"/>
      <c r="AC49" s="30"/>
      <c r="AD49" s="30"/>
      <c r="AE49" s="30"/>
      <c r="AF49" s="148" t="s">
        <v>2</v>
      </c>
      <c r="AG49" s="149">
        <f>AVERAGE(AG27:AG47)</f>
        <v>597.72831634313047</v>
      </c>
      <c r="AH49" s="150" t="s">
        <v>1</v>
      </c>
    </row>
    <row r="50" spans="3:34" x14ac:dyDescent="0.25">
      <c r="D50" s="33" t="s">
        <v>2</v>
      </c>
      <c r="E50" s="34">
        <f t="shared" ref="E50:N50" si="5">AVERAGE(E28:E47)</f>
        <v>456.57090413000799</v>
      </c>
      <c r="F50" s="34">
        <f t="shared" si="5"/>
        <v>419.22398400109222</v>
      </c>
      <c r="G50" s="34">
        <f t="shared" si="5"/>
        <v>399.80606646703438</v>
      </c>
      <c r="H50" s="34">
        <f t="shared" si="5"/>
        <v>419.57432017479039</v>
      </c>
      <c r="I50" s="34">
        <f t="shared" si="5"/>
        <v>410.11888523210911</v>
      </c>
      <c r="J50" s="34">
        <f t="shared" si="5"/>
        <v>391.75863045853629</v>
      </c>
      <c r="K50" s="34">
        <f t="shared" si="5"/>
        <v>439.90823450692579</v>
      </c>
      <c r="L50" s="34">
        <f t="shared" si="5"/>
        <v>427.83923611928992</v>
      </c>
      <c r="M50" s="34">
        <f t="shared" si="5"/>
        <v>400.20161273607039</v>
      </c>
      <c r="N50" s="34">
        <f t="shared" si="5"/>
        <v>404.94355481255928</v>
      </c>
      <c r="O50" s="149">
        <f>AVERAGE(E50:N50)</f>
        <v>416.99454286384162</v>
      </c>
      <c r="P50" s="149">
        <f>AVERAGE(E28:N47)</f>
        <v>416.99454286384133</v>
      </c>
      <c r="Q50" s="151">
        <f>STDEV(E50:N50)</f>
        <v>20.075848246301593</v>
      </c>
      <c r="U50" s="33" t="s">
        <v>2</v>
      </c>
      <c r="V50" s="34">
        <f t="shared" ref="V50:AE50" si="6">AVERAGE(V28:V47)</f>
        <v>604.03357025404898</v>
      </c>
      <c r="W50" s="34">
        <f t="shared" si="6"/>
        <v>597.84075655487095</v>
      </c>
      <c r="X50" s="34">
        <f t="shared" si="6"/>
        <v>594.59662676531173</v>
      </c>
      <c r="Y50" s="34">
        <f t="shared" si="6"/>
        <v>597.56147510730739</v>
      </c>
      <c r="Z50" s="34">
        <f t="shared" si="6"/>
        <v>596.15162971404061</v>
      </c>
      <c r="AA50" s="34">
        <f t="shared" si="6"/>
        <v>592.18174569227881</v>
      </c>
      <c r="AB50" s="34">
        <f t="shared" si="6"/>
        <v>604.0912406560094</v>
      </c>
      <c r="AC50" s="34">
        <f t="shared" si="6"/>
        <v>600.75337140636907</v>
      </c>
      <c r="AD50" s="34">
        <f t="shared" si="6"/>
        <v>594.45757603403388</v>
      </c>
      <c r="AE50" s="34">
        <f t="shared" si="6"/>
        <v>595.61517124703312</v>
      </c>
      <c r="AF50" s="149">
        <f>AVERAGE(V50:AE50)</f>
        <v>597.72831634313047</v>
      </c>
      <c r="AG50" s="149">
        <f>AVERAGE(V28:AE47)</f>
        <v>597.72831634313081</v>
      </c>
      <c r="AH50" s="182">
        <f>STDEV(V50:AE50)</f>
        <v>4.0504521053164151</v>
      </c>
    </row>
    <row r="51" spans="3:34" ht="13.8" thickBot="1" x14ac:dyDescent="0.3">
      <c r="E51" s="13"/>
      <c r="F51" s="13"/>
      <c r="G51" s="13"/>
      <c r="H51" s="13"/>
      <c r="I51" s="13"/>
      <c r="J51" s="13"/>
      <c r="K51" s="13"/>
      <c r="L51" s="13"/>
      <c r="M51" s="13"/>
      <c r="N51" s="13"/>
      <c r="O51" s="152" t="s">
        <v>1</v>
      </c>
      <c r="P51" s="153">
        <f>STDEV(P28:P47)</f>
        <v>133.75349528494255</v>
      </c>
      <c r="Q51" s="154">
        <f>STDEV(E28:N47)</f>
        <v>137.5590662324058</v>
      </c>
      <c r="R51" s="13"/>
      <c r="S51" s="13"/>
      <c r="T51" s="13"/>
      <c r="U51" s="13"/>
      <c r="V51" s="13"/>
      <c r="W51" s="13"/>
      <c r="X51" s="13"/>
      <c r="Y51" s="13"/>
      <c r="AF51" s="152" t="s">
        <v>1</v>
      </c>
      <c r="AG51" s="182">
        <f>STDEV(AG28:AG47)</f>
        <v>33.332677804462541</v>
      </c>
      <c r="AH51" s="182">
        <f>STDEV(V28:AE47)</f>
        <v>33.941679420474685</v>
      </c>
    </row>
    <row r="52" spans="3:34" x14ac:dyDescent="0.25">
      <c r="C52" s="155" t="s">
        <v>24</v>
      </c>
      <c r="D52" s="156"/>
      <c r="E52" s="157"/>
      <c r="F52" s="51" t="s">
        <v>57</v>
      </c>
      <c r="G52" s="51" t="s">
        <v>58</v>
      </c>
      <c r="H52" s="51" t="s">
        <v>74</v>
      </c>
      <c r="I52" s="160" t="s">
        <v>75</v>
      </c>
      <c r="J52" s="35"/>
      <c r="K52" s="35"/>
      <c r="L52" s="35"/>
      <c r="M52" s="35"/>
      <c r="N52" s="35"/>
      <c r="O52" s="35"/>
      <c r="S52" s="183"/>
      <c r="T52" s="51"/>
      <c r="U52" s="51"/>
      <c r="V52" s="159" t="s">
        <v>78</v>
      </c>
      <c r="W52" s="51" t="s">
        <v>57</v>
      </c>
      <c r="X52" s="51" t="s">
        <v>58</v>
      </c>
      <c r="Y52" s="51" t="s">
        <v>74</v>
      </c>
      <c r="Z52" s="160" t="s">
        <v>75</v>
      </c>
      <c r="AA52" s="35"/>
      <c r="AB52" s="35"/>
      <c r="AC52" s="35"/>
      <c r="AD52" s="35"/>
      <c r="AE52" s="35"/>
      <c r="AF52" s="12" t="s">
        <v>54</v>
      </c>
    </row>
    <row r="53" spans="3:34" x14ac:dyDescent="0.25">
      <c r="C53" s="79"/>
      <c r="D53" s="161" t="s">
        <v>65</v>
      </c>
      <c r="E53" s="46">
        <f>SQRT(E77)</f>
        <v>139.41663611631702</v>
      </c>
      <c r="F53" s="46">
        <f>SQRT(F77)</f>
        <v>110.68642625197074</v>
      </c>
      <c r="G53" s="46">
        <f>SQRT(G77)</f>
        <v>191.05800774368109</v>
      </c>
      <c r="H53" s="46"/>
      <c r="I53" s="56">
        <f>SQRT(G53/F53)</f>
        <v>1.3138187018590246</v>
      </c>
      <c r="J53" s="35"/>
      <c r="K53" s="35"/>
      <c r="L53" s="35"/>
      <c r="M53" s="35"/>
      <c r="N53" s="35"/>
      <c r="O53" s="35"/>
      <c r="S53" s="69"/>
      <c r="T53" s="65"/>
      <c r="U53" s="161" t="s">
        <v>79</v>
      </c>
      <c r="V53" s="67">
        <f t="shared" ref="V53:X58" si="7">EXP(V90/100)</f>
        <v>1.4121567048720411</v>
      </c>
      <c r="W53" s="67">
        <f t="shared" si="7"/>
        <v>1.3152122772591233</v>
      </c>
      <c r="X53" s="67">
        <f t="shared" si="7"/>
        <v>1.604726683527679</v>
      </c>
      <c r="Y53" s="65"/>
      <c r="Z53" s="56">
        <f>SQRT(X53/W53)</f>
        <v>1.1045938221545279</v>
      </c>
      <c r="AA53" s="35"/>
      <c r="AB53" s="35"/>
      <c r="AC53" s="35"/>
      <c r="AD53" s="35"/>
      <c r="AE53" s="35"/>
      <c r="AF53" s="148" t="s">
        <v>2</v>
      </c>
      <c r="AG53" s="149">
        <f>EXP(AG49/100)</f>
        <v>394.36747939402557</v>
      </c>
      <c r="AH53" s="150" t="s">
        <v>55</v>
      </c>
    </row>
    <row r="54" spans="3:34" x14ac:dyDescent="0.25">
      <c r="C54" s="80"/>
      <c r="D54" s="163" t="s">
        <v>63</v>
      </c>
      <c r="E54" s="40">
        <f t="shared" ref="E54:G56" si="8">IF(ISERROR(SQRT(E78)),-SQRT(-E78),SQRT(E78))</f>
        <v>133.10938550405407</v>
      </c>
      <c r="F54" s="40">
        <f t="shared" si="8"/>
        <v>90.392841764647116</v>
      </c>
      <c r="G54" s="40">
        <f t="shared" si="8"/>
        <v>165.12223101764715</v>
      </c>
      <c r="H54" s="40">
        <f>(G54-F54)/2</f>
        <v>37.364694626500018</v>
      </c>
      <c r="I54" s="184"/>
      <c r="J54" s="35"/>
      <c r="K54" s="35"/>
      <c r="L54" s="35"/>
      <c r="M54" s="35"/>
      <c r="N54" s="35"/>
      <c r="O54" s="35"/>
      <c r="S54" s="70"/>
      <c r="T54" s="66"/>
      <c r="U54" s="163" t="s">
        <v>82</v>
      </c>
      <c r="V54" s="44">
        <f t="shared" si="7"/>
        <v>1.3937399970432267</v>
      </c>
      <c r="W54" s="44">
        <f t="shared" si="7"/>
        <v>1.2531547923676896</v>
      </c>
      <c r="X54" s="44">
        <f t="shared" si="7"/>
        <v>1.5094081908772039</v>
      </c>
      <c r="Y54" s="66"/>
      <c r="Z54" s="53">
        <f>SQRT(X54/W54)</f>
        <v>1.0974910607944115</v>
      </c>
      <c r="AA54" s="35"/>
      <c r="AB54" s="35"/>
      <c r="AC54" s="35"/>
      <c r="AD54" s="35"/>
      <c r="AE54" s="35"/>
      <c r="AF54" s="149">
        <f>EXP(AF50/100)</f>
        <v>394.36747939402557</v>
      </c>
      <c r="AG54" s="149">
        <f>EXP(AG50/100)</f>
        <v>394.36747939402699</v>
      </c>
      <c r="AH54" s="154">
        <f>100*EXP(AH50/100)-100</f>
        <v>4.1336017627372428</v>
      </c>
    </row>
    <row r="55" spans="3:34" x14ac:dyDescent="0.25">
      <c r="C55" s="80"/>
      <c r="D55" s="163" t="s">
        <v>69</v>
      </c>
      <c r="E55" s="40">
        <f t="shared" si="8"/>
        <v>20.075848246301593</v>
      </c>
      <c r="F55" s="40">
        <f t="shared" si="8"/>
        <v>14.642259556643813</v>
      </c>
      <c r="G55" s="40">
        <f t="shared" si="8"/>
        <v>33.028736838721862</v>
      </c>
      <c r="H55" s="171"/>
      <c r="I55" s="53">
        <f>SQRT(G55/F55)</f>
        <v>1.5019031625840351</v>
      </c>
      <c r="J55" s="36"/>
      <c r="K55" s="36"/>
      <c r="L55" s="36"/>
      <c r="M55" s="36"/>
      <c r="N55" s="36"/>
      <c r="O55" s="36"/>
      <c r="S55" s="70"/>
      <c r="T55" s="66"/>
      <c r="U55" s="163" t="s">
        <v>81</v>
      </c>
      <c r="V55" s="44">
        <f t="shared" si="7"/>
        <v>1.0413360176273725</v>
      </c>
      <c r="W55" s="44">
        <f t="shared" si="7"/>
        <v>1.0299825400042677</v>
      </c>
      <c r="X55" s="44">
        <f t="shared" si="7"/>
        <v>1.0689083989050225</v>
      </c>
      <c r="Y55" s="66"/>
      <c r="Z55" s="53">
        <f>SQRT(X55/W55)</f>
        <v>1.0187211280139026</v>
      </c>
      <c r="AA55" s="36"/>
      <c r="AB55" s="35"/>
      <c r="AC55" s="35"/>
      <c r="AD55" s="35"/>
      <c r="AE55" s="36"/>
      <c r="AF55" s="152" t="s">
        <v>55</v>
      </c>
      <c r="AG55" s="154">
        <f>100*EXP(AG51/100)-100</f>
        <v>39.560327647370485</v>
      </c>
      <c r="AH55" s="154">
        <f>100*EXP(AH51/100)-100</f>
        <v>40.41284558720173</v>
      </c>
    </row>
    <row r="56" spans="3:34" x14ac:dyDescent="0.25">
      <c r="C56" s="80"/>
      <c r="D56" s="163" t="s">
        <v>70</v>
      </c>
      <c r="E56" s="40">
        <f t="shared" si="8"/>
        <v>17.807166730628357</v>
      </c>
      <c r="F56" s="40">
        <f t="shared" si="8"/>
        <v>2.0513243573195705</v>
      </c>
      <c r="G56" s="40">
        <f t="shared" si="8"/>
        <v>25.099451036344647</v>
      </c>
      <c r="H56" s="40">
        <f>(G56-F56)/2</f>
        <v>11.524063339512537</v>
      </c>
      <c r="I56" s="184"/>
      <c r="J56" s="13"/>
      <c r="K56" s="13"/>
      <c r="L56" s="13"/>
      <c r="M56" s="36"/>
      <c r="N56" s="36"/>
      <c r="O56" s="36"/>
      <c r="S56" s="70"/>
      <c r="T56" s="66"/>
      <c r="U56" s="163" t="s">
        <v>83</v>
      </c>
      <c r="V56" s="44">
        <f t="shared" si="7"/>
        <v>1.035190947461144</v>
      </c>
      <c r="W56" s="44">
        <f t="shared" si="7"/>
        <v>0.9911852915296927</v>
      </c>
      <c r="X56" s="44">
        <f t="shared" si="7"/>
        <v>1.0509628301205423</v>
      </c>
      <c r="Y56" s="66"/>
      <c r="Z56" s="53">
        <f>SQRT(X56/W56)</f>
        <v>1.0297131377874604</v>
      </c>
      <c r="AA56" s="36"/>
      <c r="AB56" s="35"/>
      <c r="AC56" s="35"/>
      <c r="AD56" s="35"/>
    </row>
    <row r="57" spans="3:34" x14ac:dyDescent="0.25">
      <c r="C57" s="80"/>
      <c r="D57" s="62" t="s">
        <v>146</v>
      </c>
      <c r="E57" s="60">
        <f>SQRT(H72)</f>
        <v>41.45949730426873</v>
      </c>
      <c r="F57" s="60">
        <f>SQRT(H70*E57^2/CHIINV((100-$D$17)/100/2,H70))</f>
        <v>38.097465696981381</v>
      </c>
      <c r="G57" s="60">
        <f>SQRT(H70*E57^2/CHIINV(1-(100-$D$17)/100/2,H70))</f>
        <v>45.534983172725525</v>
      </c>
      <c r="H57" s="185"/>
      <c r="I57" s="61">
        <f>SQRT(G57/F57)</f>
        <v>1.0932627397554471</v>
      </c>
      <c r="J57" s="13"/>
      <c r="K57" s="13"/>
      <c r="L57" s="13"/>
      <c r="S57" s="70"/>
      <c r="T57" s="66"/>
      <c r="U57" s="163" t="s">
        <v>147</v>
      </c>
      <c r="V57" s="44">
        <f t="shared" si="7"/>
        <v>1.098866899313129</v>
      </c>
      <c r="W57" s="44">
        <f t="shared" si="7"/>
        <v>1.0904977505917619</v>
      </c>
      <c r="X57" s="44">
        <f t="shared" si="7"/>
        <v>1.1090982271326291</v>
      </c>
      <c r="Y57" s="66"/>
      <c r="Z57" s="53">
        <f>SQRT(X57/W57)</f>
        <v>1.008492373954949</v>
      </c>
      <c r="AA57" s="14"/>
      <c r="AB57" s="35"/>
      <c r="AC57" s="35"/>
      <c r="AD57" s="35"/>
    </row>
    <row r="58" spans="3:34" x14ac:dyDescent="0.25">
      <c r="C58" s="81"/>
      <c r="D58" s="165" t="s">
        <v>148</v>
      </c>
      <c r="E58" s="186">
        <f>SQRT(H72+F72)</f>
        <v>45.121891623635015</v>
      </c>
      <c r="F58" s="187" t="s">
        <v>149</v>
      </c>
      <c r="G58" s="58"/>
      <c r="H58" s="164"/>
      <c r="I58" s="59"/>
      <c r="J58" s="13"/>
      <c r="K58" s="13"/>
      <c r="L58" s="13"/>
      <c r="S58" s="71"/>
      <c r="T58" s="45"/>
      <c r="U58" s="165" t="s">
        <v>150</v>
      </c>
      <c r="V58" s="166">
        <f t="shared" si="7"/>
        <v>1.1056387271345194</v>
      </c>
      <c r="W58" s="187" t="s">
        <v>149</v>
      </c>
      <c r="X58" s="166"/>
      <c r="Y58" s="45"/>
      <c r="Z58" s="57"/>
      <c r="AA58" s="14"/>
      <c r="AB58" s="35"/>
      <c r="AC58" s="35"/>
      <c r="AD58" s="35"/>
    </row>
    <row r="59" spans="3:34" x14ac:dyDescent="0.25">
      <c r="C59" s="80"/>
      <c r="D59" s="62" t="s">
        <v>151</v>
      </c>
      <c r="E59" s="188">
        <f>(E76-1)/(E76+F69-1)</f>
        <v>0.91156608242431558</v>
      </c>
      <c r="F59" s="188">
        <f>(F76-1)/(F76+F69-1)</f>
        <v>0.86143051417156302</v>
      </c>
      <c r="G59" s="188">
        <f>(G76-1)/(G76+F69-1)</f>
        <v>0.9519946804370556</v>
      </c>
      <c r="H59" s="188">
        <f>(G59-F59)/2</f>
        <v>4.5282083132746287E-2</v>
      </c>
      <c r="I59" s="61"/>
      <c r="J59" s="13"/>
      <c r="K59" s="13"/>
      <c r="L59" s="13"/>
      <c r="S59" s="70"/>
      <c r="T59" s="66"/>
      <c r="U59" s="163" t="s">
        <v>115</v>
      </c>
      <c r="V59" s="40">
        <f t="shared" ref="V59:X63" si="9">100*V53-100</f>
        <v>41.215670487204108</v>
      </c>
      <c r="W59" s="40">
        <f t="shared" si="9"/>
        <v>31.521227725912325</v>
      </c>
      <c r="X59" s="40">
        <f t="shared" si="9"/>
        <v>60.472668352767897</v>
      </c>
      <c r="Y59" s="171"/>
      <c r="Z59" s="53">
        <f>SQRT(X59/W59)</f>
        <v>1.3850900320757276</v>
      </c>
    </row>
    <row r="60" spans="3:34" ht="13.8" thickBot="1" x14ac:dyDescent="0.3">
      <c r="C60" s="189"/>
      <c r="D60" s="172" t="s">
        <v>152</v>
      </c>
      <c r="E60" s="49">
        <f>E72/(E72+F72+H72)</f>
        <v>0.89693350939882543</v>
      </c>
      <c r="F60" s="187" t="s">
        <v>149</v>
      </c>
      <c r="G60" s="77"/>
      <c r="H60" s="77"/>
      <c r="I60" s="190"/>
      <c r="J60" s="13"/>
      <c r="K60" s="13"/>
      <c r="L60" s="13"/>
      <c r="S60" s="70"/>
      <c r="T60" s="66"/>
      <c r="U60" s="163" t="s">
        <v>116</v>
      </c>
      <c r="V60" s="40">
        <f t="shared" si="9"/>
        <v>39.373999704322671</v>
      </c>
      <c r="W60" s="40">
        <f t="shared" si="9"/>
        <v>25.315479236768951</v>
      </c>
      <c r="X60" s="40">
        <f t="shared" si="9"/>
        <v>50.940819087720399</v>
      </c>
      <c r="Y60" s="40">
        <f>(X60-W60)/2</f>
        <v>12.812669925475724</v>
      </c>
      <c r="Z60" s="85"/>
    </row>
    <row r="61" spans="3:34" x14ac:dyDescent="0.25">
      <c r="C61" s="78"/>
      <c r="D61" s="54"/>
      <c r="E61" s="47" t="s">
        <v>59</v>
      </c>
      <c r="F61" s="48">
        <v>10</v>
      </c>
      <c r="G61" s="169" t="s">
        <v>60</v>
      </c>
      <c r="H61" s="191" t="s">
        <v>94</v>
      </c>
      <c r="I61" s="192"/>
      <c r="J61" s="13"/>
      <c r="K61" s="13"/>
      <c r="L61" s="13"/>
      <c r="S61" s="70"/>
      <c r="T61" s="66"/>
      <c r="U61" s="163" t="s">
        <v>117</v>
      </c>
      <c r="V61" s="40">
        <f t="shared" si="9"/>
        <v>4.1336017627372428</v>
      </c>
      <c r="W61" s="40">
        <f t="shared" si="9"/>
        <v>2.998254000426769</v>
      </c>
      <c r="X61" s="40">
        <f t="shared" si="9"/>
        <v>6.8908398905022494</v>
      </c>
      <c r="Y61" s="171"/>
      <c r="Z61" s="53">
        <f>SQRT(X61/W61)</f>
        <v>1.5160093110740007</v>
      </c>
    </row>
    <row r="62" spans="3:34" x14ac:dyDescent="0.25">
      <c r="C62" s="84"/>
      <c r="D62" s="42"/>
      <c r="E62" s="41"/>
      <c r="F62" s="41" t="s">
        <v>57</v>
      </c>
      <c r="G62" s="41" t="s">
        <v>58</v>
      </c>
      <c r="H62" s="41" t="s">
        <v>74</v>
      </c>
      <c r="I62" s="170" t="s">
        <v>75</v>
      </c>
      <c r="J62" s="13"/>
      <c r="K62" s="13"/>
      <c r="L62" s="13"/>
      <c r="S62" s="70"/>
      <c r="T62" s="66"/>
      <c r="U62" s="163" t="s">
        <v>118</v>
      </c>
      <c r="V62" s="40">
        <f t="shared" si="9"/>
        <v>3.5190947461144049</v>
      </c>
      <c r="W62" s="40">
        <f t="shared" si="9"/>
        <v>-0.88147084703072665</v>
      </c>
      <c r="X62" s="40">
        <f t="shared" si="9"/>
        <v>5.0962830120542293</v>
      </c>
      <c r="Y62" s="40">
        <f>(X62-W62)/2</f>
        <v>2.988876929542478</v>
      </c>
      <c r="Z62" s="85"/>
    </row>
    <row r="63" spans="3:34" x14ac:dyDescent="0.25">
      <c r="C63" s="79"/>
      <c r="D63" s="43" t="s">
        <v>146</v>
      </c>
      <c r="E63" s="46">
        <f>E57/SQRT(F61)</f>
        <v>13.110644212710014</v>
      </c>
      <c r="F63" s="46">
        <f>F57/SQRT(F61)</f>
        <v>12.047476468259537</v>
      </c>
      <c r="G63" s="46">
        <f>G57/SQRT(F61)</f>
        <v>14.399426004325299</v>
      </c>
      <c r="H63" s="162"/>
      <c r="I63" s="56">
        <f>SQRT(G63/F63)</f>
        <v>1.0932627397554471</v>
      </c>
      <c r="J63" s="13"/>
      <c r="K63" s="13"/>
      <c r="L63" s="13"/>
      <c r="S63" s="70"/>
      <c r="T63" s="66"/>
      <c r="U63" s="62" t="s">
        <v>153</v>
      </c>
      <c r="V63" s="60">
        <f t="shared" si="9"/>
        <v>9.8866899313129011</v>
      </c>
      <c r="W63" s="60">
        <f t="shared" si="9"/>
        <v>9.0497750591761843</v>
      </c>
      <c r="X63" s="60">
        <f t="shared" si="9"/>
        <v>10.909822713262912</v>
      </c>
      <c r="Y63" s="185"/>
      <c r="Z63" s="61">
        <f>SQRT(X63/W63)</f>
        <v>1.0979686863346787</v>
      </c>
    </row>
    <row r="64" spans="3:34" x14ac:dyDescent="0.25">
      <c r="C64" s="81"/>
      <c r="D64" s="38" t="s">
        <v>154</v>
      </c>
      <c r="E64" s="186">
        <f>E58/SQRT(F61)</f>
        <v>14.268794986595973</v>
      </c>
      <c r="F64" s="187" t="s">
        <v>149</v>
      </c>
      <c r="G64" s="186"/>
      <c r="H64" s="193"/>
      <c r="I64" s="57"/>
      <c r="J64" s="13"/>
      <c r="K64" s="13"/>
      <c r="L64" s="13"/>
      <c r="S64" s="71"/>
      <c r="T64" s="45"/>
      <c r="U64" s="165" t="s">
        <v>155</v>
      </c>
      <c r="V64" s="58">
        <f>100*V58-100</f>
        <v>10.563872713451943</v>
      </c>
      <c r="W64" s="187" t="s">
        <v>149</v>
      </c>
      <c r="X64" s="58"/>
      <c r="Y64" s="164"/>
      <c r="Z64" s="59"/>
    </row>
    <row r="65" spans="1:26" x14ac:dyDescent="0.25">
      <c r="C65" s="80"/>
      <c r="D65" s="163" t="s">
        <v>151</v>
      </c>
      <c r="E65" s="44">
        <f>IF(E76&lt;1,"~0.0",(E76-1)/(E76-1+$F$69/$F$61))</f>
        <v>0.99039189403669603</v>
      </c>
      <c r="F65" s="44">
        <f>IF(F76&lt;1,"?",(F76-1)/(F76-1+$F$69/$W$67))</f>
        <v>0.9255575296668499</v>
      </c>
      <c r="G65" s="44">
        <f>IF(E76&lt;1,"?",(G76-1)/(G76-1+$F$69/$W$67))</f>
        <v>0.97540704385926091</v>
      </c>
      <c r="H65" s="44">
        <f>IF(F76&lt;1,"?",(G65-F65)/2)</f>
        <v>2.4924757096205508E-2</v>
      </c>
      <c r="I65" s="53"/>
      <c r="J65" s="13"/>
      <c r="K65" s="13"/>
      <c r="L65" s="13"/>
      <c r="S65" s="70"/>
      <c r="T65" s="66"/>
      <c r="U65" s="62" t="s">
        <v>151</v>
      </c>
      <c r="V65" s="188">
        <f>(V84-1)/(V84+W77-1)</f>
        <v>0.92537238512885289</v>
      </c>
      <c r="W65" s="188">
        <f>(W84-1)/(W84+W77-1)</f>
        <v>0.8821620970466304</v>
      </c>
      <c r="X65" s="188">
        <f>(X84-1)/(X84+W77-1)</f>
        <v>0.95973775931372673</v>
      </c>
      <c r="Y65" s="188">
        <f>(X65-W65)/2</f>
        <v>3.8787831133548167E-2</v>
      </c>
      <c r="Z65" s="194"/>
    </row>
    <row r="66" spans="1:26" ht="13.8" thickBot="1" x14ac:dyDescent="0.3">
      <c r="C66" s="76"/>
      <c r="D66" s="195" t="s">
        <v>152</v>
      </c>
      <c r="E66" s="49">
        <f>E72/(E72+(F72+H72)/F61)</f>
        <v>0.98863955815445326</v>
      </c>
      <c r="F66" s="196" t="s">
        <v>149</v>
      </c>
      <c r="G66" s="77"/>
      <c r="H66" s="77"/>
      <c r="I66" s="55"/>
      <c r="J66" s="13"/>
      <c r="K66" s="13"/>
      <c r="L66" s="13"/>
      <c r="S66" s="76"/>
      <c r="T66" s="77"/>
      <c r="U66" s="172" t="s">
        <v>152</v>
      </c>
      <c r="V66" s="197">
        <f>V80/(V80+W80+Y80)</f>
        <v>0.9161712939397314</v>
      </c>
      <c r="W66" s="187" t="s">
        <v>149</v>
      </c>
      <c r="X66" s="197"/>
      <c r="Y66" s="197"/>
      <c r="Z66" s="50"/>
    </row>
    <row r="67" spans="1:26" x14ac:dyDescent="0.25">
      <c r="E67" s="173" t="s">
        <v>47</v>
      </c>
      <c r="F67" s="173" t="s">
        <v>48</v>
      </c>
      <c r="I67" s="35"/>
      <c r="S67" s="68"/>
      <c r="T67" s="51"/>
      <c r="U67" s="54"/>
      <c r="V67" s="47" t="s">
        <v>59</v>
      </c>
      <c r="W67" s="48">
        <v>2</v>
      </c>
      <c r="X67" s="169" t="s">
        <v>60</v>
      </c>
      <c r="Y67" s="191" t="s">
        <v>94</v>
      </c>
      <c r="Z67" s="192"/>
    </row>
    <row r="68" spans="1:26" x14ac:dyDescent="0.25">
      <c r="E68" s="173" t="s">
        <v>49</v>
      </c>
      <c r="F68" s="173" t="s">
        <v>76</v>
      </c>
      <c r="G68" s="14" t="s">
        <v>28</v>
      </c>
      <c r="H68" s="14" t="s">
        <v>29</v>
      </c>
      <c r="I68" s="35"/>
      <c r="S68" s="71"/>
      <c r="T68" s="45"/>
      <c r="U68" s="45"/>
      <c r="V68" s="45"/>
      <c r="W68" s="45" t="s">
        <v>57</v>
      </c>
      <c r="X68" s="45" t="s">
        <v>58</v>
      </c>
      <c r="Y68" s="45" t="s">
        <v>74</v>
      </c>
      <c r="Z68" s="198" t="s">
        <v>75</v>
      </c>
    </row>
    <row r="69" spans="1:26" x14ac:dyDescent="0.25">
      <c r="D69" s="15" t="s">
        <v>0</v>
      </c>
      <c r="E69" s="14">
        <f>COUNT(P28:P47)</f>
        <v>20</v>
      </c>
      <c r="F69" s="14">
        <f>COUNT(E50:N50)</f>
        <v>10</v>
      </c>
      <c r="G69" s="14">
        <f>COUNT(E28:N47)</f>
        <v>200</v>
      </c>
      <c r="S69" s="70"/>
      <c r="T69" s="66"/>
      <c r="U69" s="163" t="s">
        <v>147</v>
      </c>
      <c r="V69" s="44">
        <f>EXP(V96/100)</f>
        <v>1.0689380877662347</v>
      </c>
      <c r="W69" s="44">
        <f>EXP(W96/100)</f>
        <v>1.0631749438038518</v>
      </c>
      <c r="X69" s="44">
        <f>EXP(X96/100)</f>
        <v>1.0759661281704127</v>
      </c>
      <c r="Y69" s="66"/>
      <c r="Z69" s="56">
        <f>SQRT(X69/W69)</f>
        <v>1.005997574099414</v>
      </c>
    </row>
    <row r="70" spans="1:26" x14ac:dyDescent="0.25">
      <c r="D70" s="15" t="s">
        <v>30</v>
      </c>
      <c r="E70" s="14">
        <f>E69-1</f>
        <v>19</v>
      </c>
      <c r="F70" s="14">
        <f>F69-1</f>
        <v>9</v>
      </c>
      <c r="G70" s="14">
        <f>G69-1</f>
        <v>199</v>
      </c>
      <c r="H70" s="14">
        <f>E70*F70</f>
        <v>171</v>
      </c>
      <c r="I70" s="36"/>
      <c r="S70" s="71"/>
      <c r="T70" s="45"/>
      <c r="U70" s="165" t="s">
        <v>150</v>
      </c>
      <c r="V70" s="166">
        <f>EXP(V97/100)</f>
        <v>1.0735918831738309</v>
      </c>
      <c r="W70" s="187" t="s">
        <v>149</v>
      </c>
      <c r="X70" s="166"/>
      <c r="Y70" s="45"/>
      <c r="Z70" s="57"/>
    </row>
    <row r="71" spans="1:26" x14ac:dyDescent="0.25">
      <c r="D71" s="15" t="s">
        <v>27</v>
      </c>
      <c r="E71" s="14">
        <f>P51^2*E70*F69</f>
        <v>3399099.5251784381</v>
      </c>
      <c r="F71" s="14">
        <f>Q50^2*F70*E69</f>
        <v>72547.14290553554</v>
      </c>
      <c r="G71" s="14">
        <f>Q51^2*G70</f>
        <v>3765576.8438435495</v>
      </c>
      <c r="H71" s="14">
        <f>G71-E71-F71</f>
        <v>293930.17575957591</v>
      </c>
      <c r="I71" s="13"/>
      <c r="S71" s="70"/>
      <c r="T71" s="66"/>
      <c r="U71" s="39" t="s">
        <v>153</v>
      </c>
      <c r="V71" s="40">
        <f>100*V69-100</f>
        <v>6.893808776623473</v>
      </c>
      <c r="W71" s="40">
        <f>100*W69-100</f>
        <v>6.3174943803851846</v>
      </c>
      <c r="X71" s="40">
        <f>100*X69-100</f>
        <v>7.5966128170412759</v>
      </c>
      <c r="Y71" s="171"/>
      <c r="Z71" s="53">
        <f>SQRT(X71/W71)</f>
        <v>1.0965730389149702</v>
      </c>
    </row>
    <row r="72" spans="1:26" x14ac:dyDescent="0.25">
      <c r="D72" s="175" t="s">
        <v>50</v>
      </c>
      <c r="E72" s="174">
        <f>P51^2-H72/F69</f>
        <v>17718.108509266884</v>
      </c>
      <c r="F72" s="174">
        <f>Q50^2-H72/E69</f>
        <v>317.09518697239741</v>
      </c>
      <c r="G72" s="174"/>
      <c r="H72" s="174">
        <f>H71/H70</f>
        <v>1718.8899167226662</v>
      </c>
      <c r="I72" s="13"/>
      <c r="S72" s="71"/>
      <c r="T72" s="45"/>
      <c r="U72" s="38" t="s">
        <v>156</v>
      </c>
      <c r="V72" s="186">
        <f>100*V70-100</f>
        <v>7.3591883173830865</v>
      </c>
      <c r="W72" s="187" t="s">
        <v>149</v>
      </c>
      <c r="X72" s="186"/>
      <c r="Y72" s="193"/>
      <c r="Z72" s="57"/>
    </row>
    <row r="73" spans="1:26" x14ac:dyDescent="0.25">
      <c r="D73" s="113" t="s">
        <v>51</v>
      </c>
      <c r="E73" s="14">
        <f>2*P51^4/(E69-1)+1/F69^2*2*H72^2/H70</f>
        <v>33690030.889800459</v>
      </c>
      <c r="F73" s="14">
        <f>2*Q50^4/(F69-1)+1/E69^2*2*H72^2/H70</f>
        <v>36184.388173264881</v>
      </c>
      <c r="G73" s="30"/>
      <c r="H73" s="14">
        <f>2*H72^2/H70</f>
        <v>34556.521003635717</v>
      </c>
      <c r="I73" s="13"/>
      <c r="S73" s="70"/>
      <c r="T73" s="66"/>
      <c r="U73" s="163" t="s">
        <v>151</v>
      </c>
      <c r="V73" s="44">
        <f>IF(V84&lt;1,"~0.0",(V84-1)/(V84-1+$W$77/$W$67))</f>
        <v>0.96123990587610264</v>
      </c>
      <c r="W73" s="44">
        <f>IF(W84&lt;1,"?",(W84-1)/(W84-1+$W$77/$W$67))</f>
        <v>0.93739226651186236</v>
      </c>
      <c r="X73" s="44">
        <f>IF(V84&lt;1,"?",(X84-1)/(X84-1+$W$77/$W$67))</f>
        <v>0.97945529166087375</v>
      </c>
      <c r="Y73" s="44">
        <f>IF(W84&lt;1,"?",(X73-W73)/2)</f>
        <v>2.1031512574505695E-2</v>
      </c>
      <c r="Z73" s="53"/>
    </row>
    <row r="74" spans="1:26" ht="13.8" thickBot="1" x14ac:dyDescent="0.3">
      <c r="D74" s="175" t="s">
        <v>52</v>
      </c>
      <c r="E74" s="174">
        <f>SQRT(E73)</f>
        <v>5804.3114053090276</v>
      </c>
      <c r="F74" s="174">
        <f>SQRT(F73)</f>
        <v>190.22194451026118</v>
      </c>
      <c r="G74" s="174"/>
      <c r="H74" s="174">
        <f>SQRT(H73)</f>
        <v>185.89384337205931</v>
      </c>
      <c r="I74" s="13"/>
      <c r="S74" s="76"/>
      <c r="T74" s="77"/>
      <c r="U74" s="172" t="s">
        <v>152</v>
      </c>
      <c r="V74" s="49">
        <f>V80/(V80+(W80+Y80)/W67)</f>
        <v>0.95625197688463803</v>
      </c>
      <c r="W74" s="196" t="s">
        <v>149</v>
      </c>
      <c r="X74" s="77"/>
      <c r="Y74" s="77"/>
      <c r="Z74" s="55"/>
    </row>
    <row r="75" spans="1:26" x14ac:dyDescent="0.25">
      <c r="D75" s="14"/>
      <c r="F75" s="14" t="s">
        <v>57</v>
      </c>
      <c r="G75" s="14" t="s">
        <v>58</v>
      </c>
      <c r="I75" s="13"/>
      <c r="V75" s="173" t="s">
        <v>47</v>
      </c>
      <c r="W75" s="173" t="s">
        <v>48</v>
      </c>
      <c r="X75" s="35"/>
      <c r="Y75" s="35"/>
      <c r="Z75" s="35"/>
    </row>
    <row r="76" spans="1:26" x14ac:dyDescent="0.25">
      <c r="A76" s="14"/>
      <c r="B76" s="14"/>
      <c r="D76" s="15" t="s">
        <v>66</v>
      </c>
      <c r="E76" s="35">
        <f>E71/E70/(H71/H70)</f>
        <v>104.07878553996778</v>
      </c>
      <c r="F76" s="176">
        <f>E76/FINV((1-$D$17/100)/2,E70,H70)</f>
        <v>63.165960205560751</v>
      </c>
      <c r="G76" s="176">
        <f>E76*FINV((1-$D$17/100)/2,H70,E70)</f>
        <v>199.3102475109666</v>
      </c>
      <c r="I76" s="13"/>
      <c r="U76" s="13"/>
      <c r="V76" s="173" t="s">
        <v>49</v>
      </c>
      <c r="W76" s="173" t="s">
        <v>76</v>
      </c>
      <c r="X76" s="14" t="s">
        <v>28</v>
      </c>
      <c r="Y76" s="14" t="s">
        <v>29</v>
      </c>
      <c r="Z76" s="35"/>
    </row>
    <row r="77" spans="1:26" x14ac:dyDescent="0.25">
      <c r="A77" s="14"/>
      <c r="B77" s="14"/>
      <c r="D77" s="113" t="s">
        <v>71</v>
      </c>
      <c r="E77" s="30">
        <f>E72+H72</f>
        <v>19436.99842598955</v>
      </c>
      <c r="F77" s="30">
        <f>E70*E77/CHIINV((100-$D$17)/100/2,E70)</f>
        <v>12251.484956432958</v>
      </c>
      <c r="G77" s="30">
        <f>E70*E77/CHIINV(1-(100-$D$17)/100/2,E70)</f>
        <v>36503.162322984499</v>
      </c>
      <c r="I77" s="13"/>
      <c r="U77" s="15" t="s">
        <v>0</v>
      </c>
      <c r="V77" s="14">
        <f>COUNT(AG28:AG47)</f>
        <v>20</v>
      </c>
      <c r="W77" s="14">
        <f>COUNT(V50:AE50)</f>
        <v>10</v>
      </c>
      <c r="X77" s="14">
        <f>COUNT(V28:AE47)</f>
        <v>200</v>
      </c>
      <c r="Z77" s="35"/>
    </row>
    <row r="78" spans="1:26" x14ac:dyDescent="0.25">
      <c r="A78" s="14"/>
      <c r="B78" s="14"/>
      <c r="D78" s="113" t="s">
        <v>62</v>
      </c>
      <c r="E78" s="30">
        <f>E72</f>
        <v>17718.108509266884</v>
      </c>
      <c r="F78" s="30">
        <f>E72+NORMSINV((100-$D$17)/100/2)*E74</f>
        <v>8170.865842288531</v>
      </c>
      <c r="G78" s="30">
        <f>E72-NORMSINV((100-$D$17)/100/2)*E74</f>
        <v>27265.351176245236</v>
      </c>
      <c r="I78" s="13"/>
      <c r="U78" s="15" t="s">
        <v>30</v>
      </c>
      <c r="V78" s="14">
        <f>V77-1</f>
        <v>19</v>
      </c>
      <c r="W78" s="14">
        <f>W77-1</f>
        <v>9</v>
      </c>
      <c r="X78" s="14">
        <f>X77-1</f>
        <v>199</v>
      </c>
      <c r="Y78" s="14">
        <f>V78*W78</f>
        <v>171</v>
      </c>
      <c r="Z78" s="36"/>
    </row>
    <row r="79" spans="1:26" x14ac:dyDescent="0.25">
      <c r="A79" s="14"/>
      <c r="B79" s="14"/>
      <c r="D79" s="113" t="s">
        <v>72</v>
      </c>
      <c r="E79" s="30">
        <f>F72+H72/E69</f>
        <v>403.03968280853076</v>
      </c>
      <c r="F79" s="30">
        <f>F70*E79/CHIINV((100-$D$17)/100/2,F70)</f>
        <v>214.39576492412706</v>
      </c>
      <c r="G79" s="30">
        <f>F70*E79/CHIINV(1-(100-$D$17)/100/2,F70)</f>
        <v>1090.8974571615424</v>
      </c>
      <c r="I79" s="13"/>
      <c r="U79" s="15" t="s">
        <v>27</v>
      </c>
      <c r="V79" s="14">
        <f>AG51^2*V78*W77</f>
        <v>211102.80782706081</v>
      </c>
      <c r="W79" s="14">
        <f>AH50^2*W78*V77</f>
        <v>2953.109206343192</v>
      </c>
      <c r="X79" s="14">
        <f>AH51^2*X78</f>
        <v>229255.48277457265</v>
      </c>
      <c r="Y79" s="14">
        <f>X79-V79-W79</f>
        <v>15199.56574116865</v>
      </c>
      <c r="Z79" s="36"/>
    </row>
    <row r="80" spans="1:26" x14ac:dyDescent="0.25">
      <c r="A80" s="14"/>
      <c r="B80" s="14"/>
      <c r="D80" s="113" t="s">
        <v>68</v>
      </c>
      <c r="E80" s="30">
        <f>F72</f>
        <v>317.09518697239741</v>
      </c>
      <c r="F80" s="30">
        <f>F72+NORMSINV((100-$D$17)/100/2)*F74</f>
        <v>4.2079316189325482</v>
      </c>
      <c r="G80" s="30">
        <f>F72-NORMSINV((100-$D$17)/100/2)*F74</f>
        <v>629.98244232586228</v>
      </c>
      <c r="I80" s="13"/>
      <c r="U80" s="113" t="s">
        <v>50</v>
      </c>
      <c r="V80" s="30">
        <f>AG51^2-Y80/W77</f>
        <v>1102.1787746797538</v>
      </c>
      <c r="W80" s="30">
        <f>AH50^2-Y80/V77</f>
        <v>11.961844789284211</v>
      </c>
      <c r="X80" s="30"/>
      <c r="Y80" s="30">
        <f>Y79/Y78</f>
        <v>88.886349363559361</v>
      </c>
      <c r="Z80" s="14"/>
    </row>
    <row r="81" spans="1:26" x14ac:dyDescent="0.25">
      <c r="A81" s="14"/>
      <c r="B81" s="14"/>
      <c r="C81" s="14"/>
      <c r="D81" s="14"/>
      <c r="U81" s="113" t="s">
        <v>51</v>
      </c>
      <c r="V81" s="30">
        <f>2*AG51^4/(V77-1)+1/W77^2*2*Y80^2/Y78</f>
        <v>129945.217616731</v>
      </c>
      <c r="W81" s="30">
        <f>2*AH50^4/(W77-1)+1/V77^2*2*Y80^2/Y78</f>
        <v>60.04483038717315</v>
      </c>
      <c r="X81" s="30"/>
      <c r="Y81" s="30">
        <f>2*Y80^2/Y78</f>
        <v>92.406819920242455</v>
      </c>
      <c r="Z81" s="14"/>
    </row>
    <row r="82" spans="1:26" x14ac:dyDescent="0.25">
      <c r="A82" s="14"/>
      <c r="B82" s="14"/>
      <c r="C82" s="14"/>
      <c r="D82" s="14"/>
      <c r="U82" s="175" t="s">
        <v>52</v>
      </c>
      <c r="V82" s="174">
        <f>SQRT(V81)</f>
        <v>360.47915004439716</v>
      </c>
      <c r="W82" s="174">
        <f>SQRT(W81)</f>
        <v>7.7488599411250911</v>
      </c>
      <c r="X82" s="174"/>
      <c r="Y82" s="174">
        <f>SQRT(Y81)</f>
        <v>9.6128466085880326</v>
      </c>
    </row>
    <row r="83" spans="1:26" x14ac:dyDescent="0.25">
      <c r="C83" s="14"/>
      <c r="D83" s="14"/>
      <c r="W83" s="14" t="s">
        <v>57</v>
      </c>
      <c r="X83" s="14" t="s">
        <v>58</v>
      </c>
    </row>
    <row r="84" spans="1:26" x14ac:dyDescent="0.25">
      <c r="A84" s="14"/>
      <c r="B84" s="14"/>
      <c r="C84" s="14"/>
      <c r="D84" s="14"/>
      <c r="U84" s="15" t="s">
        <v>66</v>
      </c>
      <c r="V84" s="35">
        <f>V79/V78/(Y79/Y78)</f>
        <v>124.99865475087367</v>
      </c>
      <c r="W84" s="176">
        <f>V84/FINV((1-$D$17/100)/2,V78,Y78)</f>
        <v>75.862338427366296</v>
      </c>
      <c r="X84" s="176">
        <f>V84*FINV((1-$D$17/100)/2,Y78,V78)</f>
        <v>239.37167106323832</v>
      </c>
    </row>
    <row r="85" spans="1:26" x14ac:dyDescent="0.25">
      <c r="A85" s="14"/>
      <c r="B85" s="14"/>
      <c r="C85" s="14"/>
      <c r="D85" s="14"/>
      <c r="U85" s="113" t="s">
        <v>64</v>
      </c>
      <c r="V85" s="35">
        <f>V80+Y80</f>
        <v>1191.0651240433131</v>
      </c>
      <c r="W85" s="30">
        <f>V78*V85/CHIINV((100-$D$17)/100/2,V78)</f>
        <v>750.74947939682727</v>
      </c>
      <c r="X85" s="14">
        <f>V78*V85/CHIINV(1-(100-$D$17)/100/2,V78)</f>
        <v>2236.8496723271846</v>
      </c>
    </row>
    <row r="86" spans="1:26" x14ac:dyDescent="0.25">
      <c r="C86" s="14"/>
      <c r="D86" s="14"/>
      <c r="U86" s="113" t="s">
        <v>62</v>
      </c>
      <c r="V86" s="30">
        <f>V80</f>
        <v>1102.1787746797538</v>
      </c>
      <c r="W86" s="30">
        <f>V80+NORMSINV((100-$D$17)/100/2)*V82</f>
        <v>509.24333728884301</v>
      </c>
      <c r="X86" s="30">
        <f>V80-NORMSINV((100-$D$17)/100/2)*V82</f>
        <v>1695.1142120706645</v>
      </c>
    </row>
    <row r="87" spans="1:26" x14ac:dyDescent="0.25">
      <c r="U87" s="113" t="s">
        <v>67</v>
      </c>
      <c r="V87" s="30">
        <f>W80+Y80/V77</f>
        <v>16.406162257462178</v>
      </c>
      <c r="W87" s="30">
        <f>W78*V87/CHIINV((100-$D$17)/100/2,W78)</f>
        <v>8.7272093957282593</v>
      </c>
      <c r="X87" s="30">
        <f>W78*V87/CHIINV(1-(100-$D$17)/100/2,W78)</f>
        <v>44.406150192777844</v>
      </c>
    </row>
    <row r="88" spans="1:26" x14ac:dyDescent="0.25">
      <c r="C88" s="14"/>
      <c r="D88" s="14"/>
      <c r="U88" s="113" t="s">
        <v>68</v>
      </c>
      <c r="V88" s="35">
        <f>W80</f>
        <v>11.961844789284211</v>
      </c>
      <c r="W88" s="35">
        <f>W80+NORMSINV((100-$D$17)/100/2)*W82</f>
        <v>-0.78389558961437089</v>
      </c>
      <c r="X88" s="35">
        <f>W80-NORMSINV((100-$D$17)/100/2)*W82</f>
        <v>24.707585168182792</v>
      </c>
    </row>
    <row r="89" spans="1:26" x14ac:dyDescent="0.25">
      <c r="C89" s="14"/>
      <c r="D89" s="14"/>
      <c r="U89" s="113"/>
      <c r="V89" s="35"/>
      <c r="W89" s="14" t="s">
        <v>57</v>
      </c>
      <c r="X89" s="14" t="s">
        <v>58</v>
      </c>
    </row>
    <row r="90" spans="1:26" x14ac:dyDescent="0.25">
      <c r="D90" s="14"/>
      <c r="U90" s="113" t="s">
        <v>65</v>
      </c>
      <c r="V90" s="35">
        <f>SQRT(V85)</f>
        <v>34.511811370070291</v>
      </c>
      <c r="W90" s="35">
        <f>SQRT(W85)</f>
        <v>27.399808017517699</v>
      </c>
      <c r="X90" s="35">
        <f>SQRT(X85)</f>
        <v>47.295345144392222</v>
      </c>
      <c r="Y90" s="35"/>
    </row>
    <row r="91" spans="1:26" x14ac:dyDescent="0.25">
      <c r="U91" s="113" t="s">
        <v>63</v>
      </c>
      <c r="V91" s="176">
        <f>IF(ISERROR(SQRT(V86)),-SQRT(-V86),SQRT(V86))</f>
        <v>33.19907791911929</v>
      </c>
      <c r="W91" s="176">
        <f t="shared" ref="W91:X93" si="10">IF(ISERROR(SQRT(W86)),-SQRT(-W86),SQRT(W86))</f>
        <v>22.56642056881957</v>
      </c>
      <c r="X91" s="176">
        <f t="shared" si="10"/>
        <v>41.171764743215277</v>
      </c>
    </row>
    <row r="92" spans="1:26" x14ac:dyDescent="0.25">
      <c r="U92" s="113" t="s">
        <v>69</v>
      </c>
      <c r="V92" s="176">
        <f>IF(ISERROR(SQRT(V87)),-SQRT(-V87),SQRT(V87))</f>
        <v>4.0504521053164151</v>
      </c>
      <c r="W92" s="176">
        <f>IF(ISERROR(SQRT(W87)),-SQRT(-W87),SQRT(W87))</f>
        <v>2.954185064569967</v>
      </c>
      <c r="X92" s="176">
        <f>IF(ISERROR(SQRT(X87)),-SQRT(-X87),SQRT(X87))</f>
        <v>6.6637939788665319</v>
      </c>
    </row>
    <row r="93" spans="1:26" x14ac:dyDescent="0.25">
      <c r="U93" s="113" t="s">
        <v>70</v>
      </c>
      <c r="V93" s="176">
        <f>IF(ISERROR(SQRT(V88)),-SQRT(-V88),SQRT(V88))</f>
        <v>3.4585900001711987</v>
      </c>
      <c r="W93" s="176">
        <f t="shared" si="10"/>
        <v>-0.88537878312865104</v>
      </c>
      <c r="X93" s="176">
        <f t="shared" si="10"/>
        <v>4.9706725066315514</v>
      </c>
    </row>
    <row r="94" spans="1:26" x14ac:dyDescent="0.25">
      <c r="U94" s="15" t="s">
        <v>157</v>
      </c>
      <c r="V94" s="35">
        <f>SQRT(Y80)</f>
        <v>9.4279557361900768</v>
      </c>
      <c r="W94" s="35">
        <f>SQRT(Y78*V94^2/CHIINV((100-$D$17)/100/2,Y78))</f>
        <v>8.6634243926343615</v>
      </c>
      <c r="X94" s="35">
        <f>SQRT(Y78*V94^2/CHIINV(1-(100-$D$17)/100/2,Y78))</f>
        <v>10.354727715340985</v>
      </c>
    </row>
    <row r="95" spans="1:26" x14ac:dyDescent="0.25">
      <c r="U95" s="15" t="s">
        <v>158</v>
      </c>
      <c r="V95" s="35">
        <f>SQRT(W80+Y80)</f>
        <v>10.042320157854139</v>
      </c>
    </row>
    <row r="96" spans="1:26" x14ac:dyDescent="0.25">
      <c r="U96" s="15" t="str">
        <f>"Error for mean of "&amp;W67&amp;" trials same raters"</f>
        <v>Error for mean of 2 trials same raters</v>
      </c>
      <c r="V96" s="35">
        <f>V94/SQRT(W67)</f>
        <v>6.6665714337866113</v>
      </c>
      <c r="W96" s="35">
        <f>W94/SQRT(W67)</f>
        <v>6.125966136328703</v>
      </c>
      <c r="X96" s="35">
        <f>X94/SQRT(W67)</f>
        <v>7.321898184857897</v>
      </c>
    </row>
    <row r="97" spans="21:22" x14ac:dyDescent="0.25">
      <c r="U97" s="15" t="str">
        <f>"Error for mean of "&amp;W67&amp;" trials different raters"</f>
        <v>Error for mean of 2 trials different raters</v>
      </c>
      <c r="V97" s="35">
        <f>V95/SQRT(W67)</f>
        <v>7.1009926824650211</v>
      </c>
    </row>
  </sheetData>
  <mergeCells count="3">
    <mergeCell ref="B2:C2"/>
    <mergeCell ref="H61:I61"/>
    <mergeCell ref="Y67:Z67"/>
  </mergeCells>
  <pageMargins left="0.75" right="0.75" top="1" bottom="1" header="0.5" footer="0.5"/>
  <pageSetup paperSize="9" orientation="portrait" horizontalDpi="1200" verticalDpi="120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workbookViewId="0"/>
  </sheetViews>
  <sheetFormatPr defaultRowHeight="13.2" x14ac:dyDescent="0.25"/>
  <sheetData>
    <row r="1" spans="1:11" x14ac:dyDescent="0.25">
      <c r="A1" s="108" t="s">
        <v>31</v>
      </c>
      <c r="B1" s="92" t="s">
        <v>35</v>
      </c>
      <c r="C1" s="92" t="s">
        <v>36</v>
      </c>
      <c r="D1" s="92" t="s">
        <v>37</v>
      </c>
      <c r="E1" s="92" t="s">
        <v>38</v>
      </c>
      <c r="F1" s="92" t="s">
        <v>39</v>
      </c>
      <c r="G1" s="92" t="s">
        <v>40</v>
      </c>
      <c r="H1" s="92" t="s">
        <v>41</v>
      </c>
      <c r="I1" s="92" t="s">
        <v>42</v>
      </c>
      <c r="J1" s="92" t="s">
        <v>43</v>
      </c>
      <c r="K1" s="92" t="s">
        <v>44</v>
      </c>
    </row>
    <row r="2" spans="1:11" x14ac:dyDescent="0.25">
      <c r="A2" s="105" t="s">
        <v>4</v>
      </c>
      <c r="B2" s="96">
        <v>812.66894479840244</v>
      </c>
      <c r="C2" s="97">
        <v>706.73425202427961</v>
      </c>
      <c r="D2" s="97">
        <v>595.95357002551157</v>
      </c>
      <c r="E2" s="97">
        <v>625.97412165364346</v>
      </c>
      <c r="F2" s="97">
        <v>556.23851732836431</v>
      </c>
      <c r="G2" s="97">
        <v>629.69262370244178</v>
      </c>
      <c r="H2" s="97">
        <v>662.43443970567694</v>
      </c>
      <c r="I2" s="97">
        <v>645.17699960024163</v>
      </c>
      <c r="J2" s="97">
        <v>628.61852133160573</v>
      </c>
      <c r="K2" s="98">
        <v>638.96908271547159</v>
      </c>
    </row>
    <row r="3" spans="1:11" x14ac:dyDescent="0.25">
      <c r="A3" s="105" t="s">
        <v>5</v>
      </c>
      <c r="B3" s="99">
        <v>190.23584740022159</v>
      </c>
      <c r="C3" s="100">
        <v>215.77965529836985</v>
      </c>
      <c r="D3" s="100">
        <v>198.4007142412803</v>
      </c>
      <c r="E3" s="100">
        <v>180.57694483765306</v>
      </c>
      <c r="F3" s="100">
        <v>199.2070851826108</v>
      </c>
      <c r="G3" s="100">
        <v>186.96803129179469</v>
      </c>
      <c r="H3" s="100">
        <v>221.03494784023454</v>
      </c>
      <c r="I3" s="100">
        <v>233.56412492259201</v>
      </c>
      <c r="J3" s="100">
        <v>203.57994762346144</v>
      </c>
      <c r="K3" s="101">
        <v>210.972923078549</v>
      </c>
    </row>
    <row r="4" spans="1:11" x14ac:dyDescent="0.25">
      <c r="A4" s="105" t="s">
        <v>6</v>
      </c>
      <c r="B4" s="99">
        <v>563.84982085276806</v>
      </c>
      <c r="C4" s="100">
        <v>489.19716411122982</v>
      </c>
      <c r="D4" s="100">
        <v>415.06998168889641</v>
      </c>
      <c r="E4" s="100">
        <v>527.91389019544545</v>
      </c>
      <c r="F4" s="100">
        <v>499.0826986000323</v>
      </c>
      <c r="G4" s="100">
        <v>401.31988951544577</v>
      </c>
      <c r="H4" s="100">
        <v>515.02921682796102</v>
      </c>
      <c r="I4" s="100">
        <v>564.92218304516143</v>
      </c>
      <c r="J4" s="100">
        <v>441.72173294774802</v>
      </c>
      <c r="K4" s="101">
        <v>413.523033197389</v>
      </c>
    </row>
    <row r="5" spans="1:11" x14ac:dyDescent="0.25">
      <c r="A5" s="105" t="s">
        <v>7</v>
      </c>
      <c r="B5" s="99">
        <v>626.73793885515659</v>
      </c>
      <c r="C5" s="100">
        <v>560.22242945364314</v>
      </c>
      <c r="D5" s="100">
        <v>541.78786447409743</v>
      </c>
      <c r="E5" s="100">
        <v>636.70800475634246</v>
      </c>
      <c r="F5" s="100">
        <v>548.60228664447254</v>
      </c>
      <c r="G5" s="100">
        <v>514.30646119362791</v>
      </c>
      <c r="H5" s="100">
        <v>546.34544457983441</v>
      </c>
      <c r="I5" s="100">
        <v>571.60423762969981</v>
      </c>
      <c r="J5" s="100">
        <v>501.69293998241022</v>
      </c>
      <c r="K5" s="101">
        <v>564.04350368766961</v>
      </c>
    </row>
    <row r="6" spans="1:11" x14ac:dyDescent="0.25">
      <c r="A6" s="105" t="s">
        <v>8</v>
      </c>
      <c r="B6" s="99">
        <v>380.04579307099067</v>
      </c>
      <c r="C6" s="100">
        <v>301.27966734332068</v>
      </c>
      <c r="D6" s="100">
        <v>373.55858296759527</v>
      </c>
      <c r="E6" s="100">
        <v>314.63810400283342</v>
      </c>
      <c r="F6" s="100">
        <v>281.28191820975479</v>
      </c>
      <c r="G6" s="100">
        <v>307.24887400799685</v>
      </c>
      <c r="H6" s="100">
        <v>327.20065334060172</v>
      </c>
      <c r="I6" s="100">
        <v>288.67788355477541</v>
      </c>
      <c r="J6" s="100">
        <v>278.36266394507493</v>
      </c>
      <c r="K6" s="101">
        <v>285.12885237823406</v>
      </c>
    </row>
    <row r="7" spans="1:11" x14ac:dyDescent="0.25">
      <c r="A7" s="105" t="s">
        <v>9</v>
      </c>
      <c r="B7" s="99">
        <v>695.99480877335236</v>
      </c>
      <c r="C7" s="100">
        <v>490.86320166202768</v>
      </c>
      <c r="D7" s="100">
        <v>503.57156061765818</v>
      </c>
      <c r="E7" s="100">
        <v>553.05136521151087</v>
      </c>
      <c r="F7" s="100">
        <v>533.60951888686486</v>
      </c>
      <c r="G7" s="100">
        <v>576.23253404906586</v>
      </c>
      <c r="H7" s="100">
        <v>638.89612108824758</v>
      </c>
      <c r="I7" s="100">
        <v>552.42267062662461</v>
      </c>
      <c r="J7" s="100">
        <v>496.60496512548718</v>
      </c>
      <c r="K7" s="101">
        <v>583.43844005392668</v>
      </c>
    </row>
    <row r="8" spans="1:11" x14ac:dyDescent="0.25">
      <c r="A8" s="105" t="s">
        <v>10</v>
      </c>
      <c r="B8" s="99">
        <v>290.89893562071086</v>
      </c>
      <c r="C8" s="100">
        <v>277.86787292296543</v>
      </c>
      <c r="D8" s="100">
        <v>278.28380164411533</v>
      </c>
      <c r="E8" s="100">
        <v>280.50643289790895</v>
      </c>
      <c r="F8" s="100">
        <v>281.03066834193032</v>
      </c>
      <c r="G8" s="100">
        <v>301.44990612585042</v>
      </c>
      <c r="H8" s="100">
        <v>334.89807138077538</v>
      </c>
      <c r="I8" s="100">
        <v>309.86171460866842</v>
      </c>
      <c r="J8" s="100">
        <v>266.6455185522633</v>
      </c>
      <c r="K8" s="101">
        <v>327.48241727308601</v>
      </c>
    </row>
    <row r="9" spans="1:11" x14ac:dyDescent="0.25">
      <c r="A9" s="105" t="s">
        <v>11</v>
      </c>
      <c r="B9" s="99">
        <v>366.80955436007827</v>
      </c>
      <c r="C9" s="100">
        <v>426.36153660164331</v>
      </c>
      <c r="D9" s="100">
        <v>396.25347175689848</v>
      </c>
      <c r="E9" s="100">
        <v>309.99094912349909</v>
      </c>
      <c r="F9" s="100">
        <v>346.72449925515525</v>
      </c>
      <c r="G9" s="100">
        <v>315.91541425553191</v>
      </c>
      <c r="H9" s="100">
        <v>418.17114495876274</v>
      </c>
      <c r="I9" s="100">
        <v>331.15936825732655</v>
      </c>
      <c r="J9" s="100">
        <v>371.5090297165321</v>
      </c>
      <c r="K9" s="101">
        <v>371.0402699947989</v>
      </c>
    </row>
    <row r="10" spans="1:11" x14ac:dyDescent="0.25">
      <c r="A10" s="105" t="s">
        <v>12</v>
      </c>
      <c r="B10" s="99">
        <v>435.75907881679689</v>
      </c>
      <c r="C10" s="100">
        <v>396.50840297969739</v>
      </c>
      <c r="D10" s="100">
        <v>382.85245573190463</v>
      </c>
      <c r="E10" s="100">
        <v>414.24043257194018</v>
      </c>
      <c r="F10" s="100">
        <v>423.39688455081472</v>
      </c>
      <c r="G10" s="100">
        <v>442.90325467249238</v>
      </c>
      <c r="H10" s="100">
        <v>350.07965999651958</v>
      </c>
      <c r="I10" s="100">
        <v>395.92773242733301</v>
      </c>
      <c r="J10" s="100">
        <v>433.98923901013148</v>
      </c>
      <c r="K10" s="101">
        <v>396.4816884200128</v>
      </c>
    </row>
    <row r="11" spans="1:11" x14ac:dyDescent="0.25">
      <c r="A11" s="105" t="s">
        <v>13</v>
      </c>
      <c r="B11" s="99">
        <v>648.09234472850108</v>
      </c>
      <c r="C11" s="100">
        <v>605.84944169791117</v>
      </c>
      <c r="D11" s="100">
        <v>509.07728245787911</v>
      </c>
      <c r="E11" s="100">
        <v>568.01241915908906</v>
      </c>
      <c r="F11" s="100">
        <v>493.67136866698792</v>
      </c>
      <c r="G11" s="100">
        <v>463.90439604674185</v>
      </c>
      <c r="H11" s="100">
        <v>504.99355513495584</v>
      </c>
      <c r="I11" s="100">
        <v>507.32910967928933</v>
      </c>
      <c r="J11" s="100">
        <v>400.26245338662358</v>
      </c>
      <c r="K11" s="101">
        <v>437.11166350980409</v>
      </c>
    </row>
    <row r="12" spans="1:11" x14ac:dyDescent="0.25">
      <c r="A12" s="105" t="s">
        <v>14</v>
      </c>
      <c r="B12" s="99">
        <v>509.88659187329466</v>
      </c>
      <c r="C12" s="100">
        <v>503.75319507651602</v>
      </c>
      <c r="D12" s="100">
        <v>457.19412705180667</v>
      </c>
      <c r="E12" s="100">
        <v>583.30330320538962</v>
      </c>
      <c r="F12" s="100">
        <v>442.02312416680303</v>
      </c>
      <c r="G12" s="100">
        <v>447.43941312176406</v>
      </c>
      <c r="H12" s="100">
        <v>531.741590675569</v>
      </c>
      <c r="I12" s="100">
        <v>516.87488151664456</v>
      </c>
      <c r="J12" s="100">
        <v>494.2564063537468</v>
      </c>
      <c r="K12" s="101">
        <v>509.59646862828987</v>
      </c>
    </row>
    <row r="13" spans="1:11" x14ac:dyDescent="0.25">
      <c r="A13" s="105" t="s">
        <v>15</v>
      </c>
      <c r="B13" s="99">
        <v>249.32485595106789</v>
      </c>
      <c r="C13" s="100">
        <v>272.15991293262857</v>
      </c>
      <c r="D13" s="100">
        <v>285.98133015088513</v>
      </c>
      <c r="E13" s="100">
        <v>237.57743797913281</v>
      </c>
      <c r="F13" s="100">
        <v>299.00936610469097</v>
      </c>
      <c r="G13" s="100">
        <v>259.76267742797353</v>
      </c>
      <c r="H13" s="100">
        <v>316.98432810237972</v>
      </c>
      <c r="I13" s="100">
        <v>298.0977064847512</v>
      </c>
      <c r="J13" s="100">
        <v>258.64513959238707</v>
      </c>
      <c r="K13" s="101">
        <v>267.55437452930613</v>
      </c>
    </row>
    <row r="14" spans="1:11" x14ac:dyDescent="0.25">
      <c r="A14" s="105" t="s">
        <v>16</v>
      </c>
      <c r="B14" s="99">
        <v>335.52584324736887</v>
      </c>
      <c r="C14" s="100">
        <v>292.65210968495842</v>
      </c>
      <c r="D14" s="100">
        <v>290.77836067702009</v>
      </c>
      <c r="E14" s="100">
        <v>348.20663384273956</v>
      </c>
      <c r="F14" s="100">
        <v>387.07943677488606</v>
      </c>
      <c r="G14" s="100">
        <v>309.74425148888417</v>
      </c>
      <c r="H14" s="100">
        <v>390.59758010879824</v>
      </c>
      <c r="I14" s="100">
        <v>389.63886363350935</v>
      </c>
      <c r="J14" s="100">
        <v>377.29569364470655</v>
      </c>
      <c r="K14" s="101">
        <v>354.80170983029643</v>
      </c>
    </row>
    <row r="15" spans="1:11" x14ac:dyDescent="0.25">
      <c r="A15" s="105" t="s">
        <v>17</v>
      </c>
      <c r="B15" s="99">
        <v>479.66446386426537</v>
      </c>
      <c r="C15" s="100">
        <v>456.38421187702926</v>
      </c>
      <c r="D15" s="100">
        <v>459.26381187410834</v>
      </c>
      <c r="E15" s="100">
        <v>491.97523616098329</v>
      </c>
      <c r="F15" s="100">
        <v>457.9951475540804</v>
      </c>
      <c r="G15" s="100">
        <v>420.92768955009331</v>
      </c>
      <c r="H15" s="100">
        <v>508.96627675867177</v>
      </c>
      <c r="I15" s="100">
        <v>441.36445709378495</v>
      </c>
      <c r="J15" s="100">
        <v>468.79961802464317</v>
      </c>
      <c r="K15" s="101">
        <v>486.67096375452019</v>
      </c>
    </row>
    <row r="16" spans="1:11" x14ac:dyDescent="0.25">
      <c r="A16" s="105" t="s">
        <v>18</v>
      </c>
      <c r="B16" s="99">
        <v>357.54110781674973</v>
      </c>
      <c r="C16" s="100">
        <v>298.42244452083912</v>
      </c>
      <c r="D16" s="100">
        <v>270.57192164365449</v>
      </c>
      <c r="E16" s="100">
        <v>362.7488327516636</v>
      </c>
      <c r="F16" s="100">
        <v>321.25643719244226</v>
      </c>
      <c r="G16" s="100">
        <v>299.86655115915306</v>
      </c>
      <c r="H16" s="100">
        <v>366.13151959593313</v>
      </c>
      <c r="I16" s="100">
        <v>330.66196693840698</v>
      </c>
      <c r="J16" s="100">
        <v>265.5910714195993</v>
      </c>
      <c r="K16" s="101">
        <v>327.69725549049588</v>
      </c>
    </row>
    <row r="17" spans="1:11" x14ac:dyDescent="0.25">
      <c r="A17" s="105" t="s">
        <v>19</v>
      </c>
      <c r="B17" s="99">
        <v>775.36620712495733</v>
      </c>
      <c r="C17" s="100">
        <v>708.62381094854993</v>
      </c>
      <c r="D17" s="100">
        <v>604.01915288204577</v>
      </c>
      <c r="E17" s="100">
        <v>576.40178084826709</v>
      </c>
      <c r="F17" s="100">
        <v>722.85890264052034</v>
      </c>
      <c r="G17" s="100">
        <v>577.06066775382419</v>
      </c>
      <c r="H17" s="100">
        <v>646.37724636859002</v>
      </c>
      <c r="I17" s="100">
        <v>740.5099357185286</v>
      </c>
      <c r="J17" s="100">
        <v>637.88338985405517</v>
      </c>
      <c r="K17" s="101">
        <v>564.05840284628493</v>
      </c>
    </row>
    <row r="18" spans="1:11" x14ac:dyDescent="0.25">
      <c r="A18" s="105" t="s">
        <v>20</v>
      </c>
      <c r="B18" s="99">
        <v>208.29532521626069</v>
      </c>
      <c r="C18" s="100">
        <v>269.12070046707902</v>
      </c>
      <c r="D18" s="100">
        <v>278.48203638621538</v>
      </c>
      <c r="E18" s="100">
        <v>264.19820005714678</v>
      </c>
      <c r="F18" s="100">
        <v>238.39905419203768</v>
      </c>
      <c r="G18" s="100">
        <v>278.22212379860088</v>
      </c>
      <c r="H18" s="100">
        <v>297.8137259373072</v>
      </c>
      <c r="I18" s="100">
        <v>283.39943029535203</v>
      </c>
      <c r="J18" s="100">
        <v>273.72334324716047</v>
      </c>
      <c r="K18" s="101">
        <v>238.03641650468705</v>
      </c>
    </row>
    <row r="19" spans="1:11" x14ac:dyDescent="0.25">
      <c r="A19" s="105" t="s">
        <v>22</v>
      </c>
      <c r="B19" s="99">
        <v>399.48995067433083</v>
      </c>
      <c r="C19" s="100">
        <v>312.56297685591773</v>
      </c>
      <c r="D19" s="100">
        <v>449.92470566121381</v>
      </c>
      <c r="E19" s="100">
        <v>355.11607678559182</v>
      </c>
      <c r="F19" s="100">
        <v>423.7425019048091</v>
      </c>
      <c r="G19" s="100">
        <v>396.19202595123187</v>
      </c>
      <c r="H19" s="100">
        <v>448.40419895861174</v>
      </c>
      <c r="I19" s="100">
        <v>382.683496057963</v>
      </c>
      <c r="J19" s="100">
        <v>397.08271338552964</v>
      </c>
      <c r="K19" s="101">
        <v>412.09404397311363</v>
      </c>
    </row>
    <row r="20" spans="1:11" x14ac:dyDescent="0.25">
      <c r="A20" s="105" t="s">
        <v>21</v>
      </c>
      <c r="B20" s="99">
        <v>261.44126362856531</v>
      </c>
      <c r="C20" s="100">
        <v>289.34129870572133</v>
      </c>
      <c r="D20" s="100">
        <v>256.9536564110872</v>
      </c>
      <c r="E20" s="100">
        <v>248.22442306912228</v>
      </c>
      <c r="F20" s="100">
        <v>228.41431149439617</v>
      </c>
      <c r="G20" s="100">
        <v>241.66993250511882</v>
      </c>
      <c r="H20" s="100">
        <v>251.41503438442484</v>
      </c>
      <c r="I20" s="100">
        <v>265.53943989630324</v>
      </c>
      <c r="J20" s="100">
        <v>304.51907885405302</v>
      </c>
      <c r="K20" s="101">
        <v>251.70877786702152</v>
      </c>
    </row>
    <row r="21" spans="1:11" x14ac:dyDescent="0.25">
      <c r="A21" s="105" t="s">
        <v>23</v>
      </c>
      <c r="B21" s="102">
        <v>543.78940592632011</v>
      </c>
      <c r="C21" s="103">
        <v>510.79539485751781</v>
      </c>
      <c r="D21" s="103">
        <v>448.1429409968141</v>
      </c>
      <c r="E21" s="103">
        <v>512.1218143859054</v>
      </c>
      <c r="F21" s="103">
        <v>518.75397695052857</v>
      </c>
      <c r="G21" s="103">
        <v>464.34589155309311</v>
      </c>
      <c r="H21" s="103">
        <v>520.64993439466127</v>
      </c>
      <c r="I21" s="103">
        <v>507.3685203988411</v>
      </c>
      <c r="J21" s="103">
        <v>503.24878872418935</v>
      </c>
      <c r="K21" s="104">
        <v>458.46080851823007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1"/>
  <sheetViews>
    <sheetView zoomScale="85" zoomScaleNormal="85" workbookViewId="0"/>
  </sheetViews>
  <sheetFormatPr defaultRowHeight="13.2" x14ac:dyDescent="0.25"/>
  <cols>
    <col min="1" max="1" width="8.88671875" style="4"/>
    <col min="2" max="3" width="8.88671875" style="2"/>
    <col min="4" max="4" width="11.6640625" style="2" customWidth="1"/>
    <col min="5" max="5" width="10.21875" style="2" customWidth="1"/>
  </cols>
  <sheetData>
    <row r="1" spans="1:5" x14ac:dyDescent="0.25">
      <c r="A1" s="9" t="s">
        <v>31</v>
      </c>
      <c r="B1" s="10" t="s">
        <v>32</v>
      </c>
      <c r="C1" s="10" t="s">
        <v>45</v>
      </c>
      <c r="D1" s="10" t="s">
        <v>46</v>
      </c>
      <c r="E1" s="10" t="s">
        <v>33</v>
      </c>
    </row>
    <row r="2" spans="1:5" x14ac:dyDescent="0.25">
      <c r="A2" s="8" t="s">
        <v>4</v>
      </c>
      <c r="B2" s="3">
        <v>812.66894479840244</v>
      </c>
      <c r="C2" s="2" t="s">
        <v>35</v>
      </c>
      <c r="D2" s="2" t="s">
        <v>110</v>
      </c>
      <c r="E2" s="3">
        <v>670.03238246485898</v>
      </c>
    </row>
    <row r="3" spans="1:5" x14ac:dyDescent="0.25">
      <c r="A3" s="8" t="s">
        <v>5</v>
      </c>
      <c r="B3" s="3">
        <v>190.23584740022159</v>
      </c>
      <c r="C3" s="2" t="s">
        <v>35</v>
      </c>
      <c r="D3" s="2" t="s">
        <v>110</v>
      </c>
      <c r="E3" s="3">
        <v>524.82646044884086</v>
      </c>
    </row>
    <row r="4" spans="1:5" x14ac:dyDescent="0.25">
      <c r="A4" s="8" t="s">
        <v>6</v>
      </c>
      <c r="B4" s="3">
        <v>563.84982085276806</v>
      </c>
      <c r="C4" s="2" t="s">
        <v>35</v>
      </c>
      <c r="D4" s="2" t="s">
        <v>110</v>
      </c>
      <c r="E4" s="3">
        <v>633.478794095681</v>
      </c>
    </row>
    <row r="5" spans="1:5" x14ac:dyDescent="0.25">
      <c r="A5" s="8" t="s">
        <v>7</v>
      </c>
      <c r="B5" s="3">
        <v>626.73793885515659</v>
      </c>
      <c r="C5" s="2" t="s">
        <v>35</v>
      </c>
      <c r="D5" s="2" t="s">
        <v>110</v>
      </c>
      <c r="E5" s="3">
        <v>644.05284929045422</v>
      </c>
    </row>
    <row r="6" spans="1:5" x14ac:dyDescent="0.25">
      <c r="A6" s="8" t="s">
        <v>8</v>
      </c>
      <c r="B6" s="3">
        <v>380.04579307099067</v>
      </c>
      <c r="C6" s="2" t="s">
        <v>35</v>
      </c>
      <c r="D6" s="2" t="s">
        <v>110</v>
      </c>
      <c r="E6" s="3">
        <v>594.02917535414701</v>
      </c>
    </row>
    <row r="7" spans="1:5" x14ac:dyDescent="0.25">
      <c r="A7" s="8" t="s">
        <v>9</v>
      </c>
      <c r="B7" s="3">
        <v>695.99480877335236</v>
      </c>
      <c r="C7" s="2" t="s">
        <v>35</v>
      </c>
      <c r="D7" s="2" t="s">
        <v>110</v>
      </c>
      <c r="E7" s="3">
        <v>654.5342201647627</v>
      </c>
    </row>
    <row r="8" spans="1:5" x14ac:dyDescent="0.25">
      <c r="A8" s="8" t="s">
        <v>10</v>
      </c>
      <c r="B8" s="3">
        <v>290.89893562071086</v>
      </c>
      <c r="C8" s="2" t="s">
        <v>35</v>
      </c>
      <c r="D8" s="2" t="s">
        <v>110</v>
      </c>
      <c r="E8" s="3">
        <v>567.29759065763142</v>
      </c>
    </row>
    <row r="9" spans="1:5" x14ac:dyDescent="0.25">
      <c r="A9" s="8" t="s">
        <v>11</v>
      </c>
      <c r="B9" s="3">
        <v>366.80955436007827</v>
      </c>
      <c r="C9" s="2" t="s">
        <v>35</v>
      </c>
      <c r="D9" s="2" t="s">
        <v>110</v>
      </c>
      <c r="E9" s="3">
        <v>590.48427879167832</v>
      </c>
    </row>
    <row r="10" spans="1:5" x14ac:dyDescent="0.25">
      <c r="A10" s="8" t="s">
        <v>12</v>
      </c>
      <c r="B10" s="3">
        <v>435.75907881679689</v>
      </c>
      <c r="C10" s="2" t="s">
        <v>35</v>
      </c>
      <c r="D10" s="2" t="s">
        <v>110</v>
      </c>
      <c r="E10" s="3">
        <v>607.70895191040199</v>
      </c>
    </row>
    <row r="11" spans="1:5" x14ac:dyDescent="0.25">
      <c r="A11" s="8" t="s">
        <v>13</v>
      </c>
      <c r="B11" s="3">
        <v>648.09234472850108</v>
      </c>
      <c r="C11" s="2" t="s">
        <v>35</v>
      </c>
      <c r="D11" s="2" t="s">
        <v>110</v>
      </c>
      <c r="E11" s="3">
        <v>647.40331934961443</v>
      </c>
    </row>
    <row r="12" spans="1:5" x14ac:dyDescent="0.25">
      <c r="A12" s="8" t="s">
        <v>14</v>
      </c>
      <c r="B12" s="3">
        <v>509.88659187329466</v>
      </c>
      <c r="C12" s="2" t="s">
        <v>35</v>
      </c>
      <c r="D12" s="2" t="s">
        <v>110</v>
      </c>
      <c r="E12" s="3">
        <v>623.41883321148543</v>
      </c>
    </row>
    <row r="13" spans="1:5" x14ac:dyDescent="0.25">
      <c r="A13" s="8" t="s">
        <v>15</v>
      </c>
      <c r="B13" s="3">
        <v>249.32485595106789</v>
      </c>
      <c r="C13" s="2" t="s">
        <v>35</v>
      </c>
      <c r="D13" s="2" t="s">
        <v>110</v>
      </c>
      <c r="E13" s="3">
        <v>551.87566885320962</v>
      </c>
    </row>
    <row r="14" spans="1:5" x14ac:dyDescent="0.25">
      <c r="A14" s="8" t="s">
        <v>16</v>
      </c>
      <c r="B14" s="3">
        <v>335.52584324736887</v>
      </c>
      <c r="C14" s="2" t="s">
        <v>35</v>
      </c>
      <c r="D14" s="2" t="s">
        <v>110</v>
      </c>
      <c r="E14" s="3">
        <v>581.56989824984123</v>
      </c>
    </row>
    <row r="15" spans="1:5" x14ac:dyDescent="0.25">
      <c r="A15" s="8" t="s">
        <v>17</v>
      </c>
      <c r="B15" s="3">
        <v>479.66446386426537</v>
      </c>
      <c r="C15" s="2" t="s">
        <v>35</v>
      </c>
      <c r="D15" s="2" t="s">
        <v>110</v>
      </c>
      <c r="E15" s="3">
        <v>617.3086825847904</v>
      </c>
    </row>
    <row r="16" spans="1:5" x14ac:dyDescent="0.25">
      <c r="A16" s="8" t="s">
        <v>18</v>
      </c>
      <c r="B16" s="3">
        <v>357.54110781674973</v>
      </c>
      <c r="C16" s="2" t="s">
        <v>35</v>
      </c>
      <c r="D16" s="2" t="s">
        <v>110</v>
      </c>
      <c r="E16" s="3">
        <v>587.92503424235747</v>
      </c>
    </row>
    <row r="17" spans="1:6" x14ac:dyDescent="0.25">
      <c r="A17" s="8" t="s">
        <v>19</v>
      </c>
      <c r="B17" s="3">
        <v>775.36620712495733</v>
      </c>
      <c r="C17" s="2" t="s">
        <v>35</v>
      </c>
      <c r="D17" s="2" t="s">
        <v>110</v>
      </c>
      <c r="E17" s="3">
        <v>665.3335443070938</v>
      </c>
    </row>
    <row r="18" spans="1:6" x14ac:dyDescent="0.25">
      <c r="A18" s="8" t="s">
        <v>20</v>
      </c>
      <c r="B18" s="3">
        <v>208.29532521626069</v>
      </c>
      <c r="C18" s="2" t="s">
        <v>35</v>
      </c>
      <c r="D18" s="2" t="s">
        <v>110</v>
      </c>
      <c r="E18" s="3">
        <v>533.89569054623314</v>
      </c>
    </row>
    <row r="19" spans="1:6" x14ac:dyDescent="0.25">
      <c r="A19" s="8" t="s">
        <v>22</v>
      </c>
      <c r="B19" s="3">
        <v>399.48995067433083</v>
      </c>
      <c r="C19" s="2" t="s">
        <v>35</v>
      </c>
      <c r="D19" s="2" t="s">
        <v>110</v>
      </c>
      <c r="E19" s="3">
        <v>599.01886101323237</v>
      </c>
    </row>
    <row r="20" spans="1:6" x14ac:dyDescent="0.25">
      <c r="A20" s="8" t="s">
        <v>21</v>
      </c>
      <c r="B20" s="3">
        <v>261.44126362856531</v>
      </c>
      <c r="C20" s="2" t="s">
        <v>35</v>
      </c>
      <c r="D20" s="2" t="s">
        <v>110</v>
      </c>
      <c r="E20" s="3">
        <v>556.62096450005527</v>
      </c>
    </row>
    <row r="21" spans="1:6" x14ac:dyDescent="0.25">
      <c r="A21" s="8" t="s">
        <v>23</v>
      </c>
      <c r="B21" s="3">
        <v>543.78940592632011</v>
      </c>
      <c r="C21" s="2" t="s">
        <v>35</v>
      </c>
      <c r="D21" s="2" t="s">
        <v>110</v>
      </c>
      <c r="E21" s="3">
        <v>629.85620504461167</v>
      </c>
    </row>
    <row r="22" spans="1:6" x14ac:dyDescent="0.25">
      <c r="A22" s="8" t="s">
        <v>4</v>
      </c>
      <c r="B22" s="3">
        <v>706.73425202427961</v>
      </c>
      <c r="C22" s="2" t="s">
        <v>36</v>
      </c>
      <c r="D22" s="2" t="s">
        <v>111</v>
      </c>
      <c r="E22" s="3">
        <v>656.06547140817679</v>
      </c>
      <c r="F22" s="7"/>
    </row>
    <row r="23" spans="1:6" x14ac:dyDescent="0.25">
      <c r="A23" s="8" t="s">
        <v>5</v>
      </c>
      <c r="B23" s="3">
        <v>215.77965529836985</v>
      </c>
      <c r="C23" s="2" t="s">
        <v>36</v>
      </c>
      <c r="D23" s="2" t="s">
        <v>111</v>
      </c>
      <c r="E23" s="3">
        <v>537.42577726539866</v>
      </c>
    </row>
    <row r="24" spans="1:6" x14ac:dyDescent="0.25">
      <c r="A24" s="8" t="s">
        <v>6</v>
      </c>
      <c r="B24" s="3">
        <v>489.19716411122982</v>
      </c>
      <c r="C24" s="2" t="s">
        <v>36</v>
      </c>
      <c r="D24" s="2" t="s">
        <v>111</v>
      </c>
      <c r="E24" s="3">
        <v>619.27656068036345</v>
      </c>
    </row>
    <row r="25" spans="1:6" x14ac:dyDescent="0.25">
      <c r="A25" s="8" t="s">
        <v>7</v>
      </c>
      <c r="B25" s="3">
        <v>560.22242945364314</v>
      </c>
      <c r="C25" s="2" t="s">
        <v>36</v>
      </c>
      <c r="D25" s="2" t="s">
        <v>111</v>
      </c>
      <c r="E25" s="3">
        <v>632.83339003208971</v>
      </c>
    </row>
    <row r="26" spans="1:6" x14ac:dyDescent="0.25">
      <c r="A26" s="8" t="s">
        <v>8</v>
      </c>
      <c r="B26" s="3">
        <v>301.27966734332068</v>
      </c>
      <c r="C26" s="2" t="s">
        <v>36</v>
      </c>
      <c r="D26" s="2" t="s">
        <v>111</v>
      </c>
      <c r="E26" s="3">
        <v>570.80389607636516</v>
      </c>
    </row>
    <row r="27" spans="1:6" x14ac:dyDescent="0.25">
      <c r="A27" s="8" t="s">
        <v>9</v>
      </c>
      <c r="B27" s="3">
        <v>490.86320166202768</v>
      </c>
      <c r="C27" s="2" t="s">
        <v>36</v>
      </c>
      <c r="D27" s="2" t="s">
        <v>111</v>
      </c>
      <c r="E27" s="3">
        <v>619.61654772887766</v>
      </c>
    </row>
    <row r="28" spans="1:6" x14ac:dyDescent="0.25">
      <c r="A28" s="8" t="s">
        <v>10</v>
      </c>
      <c r="B28" s="3">
        <v>277.86787292296543</v>
      </c>
      <c r="C28" s="2" t="s">
        <v>36</v>
      </c>
      <c r="D28" s="2" t="s">
        <v>111</v>
      </c>
      <c r="E28" s="3">
        <v>562.71457234550826</v>
      </c>
    </row>
    <row r="29" spans="1:6" x14ac:dyDescent="0.25">
      <c r="A29" s="8" t="s">
        <v>11</v>
      </c>
      <c r="B29" s="3">
        <v>426.36153660164331</v>
      </c>
      <c r="C29" s="2" t="s">
        <v>36</v>
      </c>
      <c r="D29" s="2" t="s">
        <v>111</v>
      </c>
      <c r="E29" s="3">
        <v>605.52876638149189</v>
      </c>
    </row>
    <row r="30" spans="1:6" x14ac:dyDescent="0.25">
      <c r="A30" s="8" t="s">
        <v>12</v>
      </c>
      <c r="B30" s="3">
        <v>396.50840297969739</v>
      </c>
      <c r="C30" s="2" t="s">
        <v>36</v>
      </c>
      <c r="D30" s="2" t="s">
        <v>111</v>
      </c>
      <c r="E30" s="3">
        <v>598.26972337373411</v>
      </c>
    </row>
    <row r="31" spans="1:6" x14ac:dyDescent="0.25">
      <c r="A31" s="8" t="s">
        <v>13</v>
      </c>
      <c r="B31" s="3">
        <v>605.84944169791117</v>
      </c>
      <c r="C31" s="2" t="s">
        <v>36</v>
      </c>
      <c r="D31" s="2" t="s">
        <v>111</v>
      </c>
      <c r="E31" s="3">
        <v>640.66315091584329</v>
      </c>
    </row>
    <row r="32" spans="1:6" x14ac:dyDescent="0.25">
      <c r="A32" s="8" t="s">
        <v>14</v>
      </c>
      <c r="B32" s="3">
        <v>503.75319507651602</v>
      </c>
      <c r="C32" s="2" t="s">
        <v>36</v>
      </c>
      <c r="D32" s="2" t="s">
        <v>111</v>
      </c>
      <c r="E32" s="3">
        <v>622.2086455824433</v>
      </c>
    </row>
    <row r="33" spans="1:5" x14ac:dyDescent="0.25">
      <c r="A33" s="8" t="s">
        <v>15</v>
      </c>
      <c r="B33" s="3">
        <v>272.15991293262857</v>
      </c>
      <c r="C33" s="2" t="s">
        <v>36</v>
      </c>
      <c r="D33" s="2" t="s">
        <v>111</v>
      </c>
      <c r="E33" s="3">
        <v>560.63898087350537</v>
      </c>
    </row>
    <row r="34" spans="1:5" x14ac:dyDescent="0.25">
      <c r="A34" s="8" t="s">
        <v>16</v>
      </c>
      <c r="B34" s="3">
        <v>292.65210968495842</v>
      </c>
      <c r="C34" s="2" t="s">
        <v>36</v>
      </c>
      <c r="D34" s="2" t="s">
        <v>111</v>
      </c>
      <c r="E34" s="3">
        <v>567.89845646125218</v>
      </c>
    </row>
    <row r="35" spans="1:5" x14ac:dyDescent="0.25">
      <c r="A35" s="8" t="s">
        <v>17</v>
      </c>
      <c r="B35" s="3">
        <v>456.38421187702926</v>
      </c>
      <c r="C35" s="2" t="s">
        <v>36</v>
      </c>
      <c r="D35" s="2" t="s">
        <v>111</v>
      </c>
      <c r="E35" s="3">
        <v>612.333502465739</v>
      </c>
    </row>
    <row r="36" spans="1:5" x14ac:dyDescent="0.25">
      <c r="A36" s="8" t="s">
        <v>18</v>
      </c>
      <c r="B36" s="3">
        <v>298.42244452083912</v>
      </c>
      <c r="C36" s="2" t="s">
        <v>36</v>
      </c>
      <c r="D36" s="2" t="s">
        <v>111</v>
      </c>
      <c r="E36" s="3">
        <v>569.85100817236582</v>
      </c>
    </row>
    <row r="37" spans="1:5" x14ac:dyDescent="0.25">
      <c r="A37" s="8" t="s">
        <v>19</v>
      </c>
      <c r="B37" s="3">
        <v>708.62381094854993</v>
      </c>
      <c r="C37" s="2" t="s">
        <v>36</v>
      </c>
      <c r="D37" s="2" t="s">
        <v>111</v>
      </c>
      <c r="E37" s="3">
        <v>656.33247946731183</v>
      </c>
    </row>
    <row r="38" spans="1:5" x14ac:dyDescent="0.25">
      <c r="A38" s="8" t="s">
        <v>20</v>
      </c>
      <c r="B38" s="3">
        <v>269.12070046707902</v>
      </c>
      <c r="C38" s="2" t="s">
        <v>36</v>
      </c>
      <c r="D38" s="2" t="s">
        <v>111</v>
      </c>
      <c r="E38" s="3">
        <v>559.51599795869299</v>
      </c>
    </row>
    <row r="39" spans="1:5" x14ac:dyDescent="0.25">
      <c r="A39" s="8" t="s">
        <v>22</v>
      </c>
      <c r="B39" s="3">
        <v>312.56297685591773</v>
      </c>
      <c r="C39" s="2" t="s">
        <v>36</v>
      </c>
      <c r="D39" s="2" t="s">
        <v>111</v>
      </c>
      <c r="E39" s="3">
        <v>574.4805974811768</v>
      </c>
    </row>
    <row r="40" spans="1:5" x14ac:dyDescent="0.25">
      <c r="A40" s="8" t="s">
        <v>21</v>
      </c>
      <c r="B40" s="3">
        <v>289.34129870572133</v>
      </c>
      <c r="C40" s="2" t="s">
        <v>36</v>
      </c>
      <c r="D40" s="2" t="s">
        <v>111</v>
      </c>
      <c r="E40" s="3">
        <v>566.76069557021935</v>
      </c>
    </row>
    <row r="41" spans="1:5" x14ac:dyDescent="0.25">
      <c r="A41" s="8" t="s">
        <v>23</v>
      </c>
      <c r="B41" s="3">
        <v>510.79539485751781</v>
      </c>
      <c r="C41" s="2" t="s">
        <v>36</v>
      </c>
      <c r="D41" s="2" t="s">
        <v>111</v>
      </c>
      <c r="E41" s="3">
        <v>623.59691085686404</v>
      </c>
    </row>
    <row r="42" spans="1:5" x14ac:dyDescent="0.25">
      <c r="A42" s="8" t="s">
        <v>4</v>
      </c>
      <c r="B42" s="3">
        <v>595.95357002551157</v>
      </c>
      <c r="C42" s="2" t="s">
        <v>37</v>
      </c>
      <c r="D42" s="2" t="s">
        <v>112</v>
      </c>
      <c r="E42" s="3">
        <v>639.01627613890219</v>
      </c>
    </row>
    <row r="43" spans="1:5" x14ac:dyDescent="0.25">
      <c r="A43" s="8" t="s">
        <v>5</v>
      </c>
      <c r="B43" s="3">
        <v>198.4007142412803</v>
      </c>
      <c r="C43" s="2" t="s">
        <v>37</v>
      </c>
      <c r="D43" s="2" t="s">
        <v>112</v>
      </c>
      <c r="E43" s="3">
        <v>529.02887948507453</v>
      </c>
    </row>
    <row r="44" spans="1:5" x14ac:dyDescent="0.25">
      <c r="A44" s="8" t="s">
        <v>6</v>
      </c>
      <c r="B44" s="3">
        <v>415.06998168889641</v>
      </c>
      <c r="C44" s="2" t="s">
        <v>37</v>
      </c>
      <c r="D44" s="2" t="s">
        <v>112</v>
      </c>
      <c r="E44" s="3">
        <v>602.8447136589815</v>
      </c>
    </row>
    <row r="45" spans="1:5" x14ac:dyDescent="0.25">
      <c r="A45" s="8" t="s">
        <v>7</v>
      </c>
      <c r="B45" s="3">
        <v>541.78786447409743</v>
      </c>
      <c r="C45" s="2" t="s">
        <v>37</v>
      </c>
      <c r="D45" s="2" t="s">
        <v>112</v>
      </c>
      <c r="E45" s="3">
        <v>629.4874530865809</v>
      </c>
    </row>
    <row r="46" spans="1:5" x14ac:dyDescent="0.25">
      <c r="A46" s="8" t="s">
        <v>8</v>
      </c>
      <c r="B46" s="3">
        <v>373.55858296759527</v>
      </c>
      <c r="C46" s="2" t="s">
        <v>37</v>
      </c>
      <c r="D46" s="2" t="s">
        <v>112</v>
      </c>
      <c r="E46" s="3">
        <v>592.30748409148964</v>
      </c>
    </row>
    <row r="47" spans="1:5" x14ac:dyDescent="0.25">
      <c r="A47" s="8" t="s">
        <v>9</v>
      </c>
      <c r="B47" s="3">
        <v>503.57156061765818</v>
      </c>
      <c r="C47" s="2" t="s">
        <v>37</v>
      </c>
      <c r="D47" s="2" t="s">
        <v>112</v>
      </c>
      <c r="E47" s="3">
        <v>622.17258284104844</v>
      </c>
    </row>
    <row r="48" spans="1:5" x14ac:dyDescent="0.25">
      <c r="A48" s="8" t="s">
        <v>10</v>
      </c>
      <c r="B48" s="3">
        <v>278.28380164411533</v>
      </c>
      <c r="C48" s="2" t="s">
        <v>37</v>
      </c>
      <c r="D48" s="2" t="s">
        <v>112</v>
      </c>
      <c r="E48" s="3">
        <v>562.86414621814572</v>
      </c>
    </row>
    <row r="49" spans="1:5" x14ac:dyDescent="0.25">
      <c r="A49" s="8" t="s">
        <v>11</v>
      </c>
      <c r="B49" s="3">
        <v>396.25347175689848</v>
      </c>
      <c r="C49" s="2" t="s">
        <v>37</v>
      </c>
      <c r="D49" s="2" t="s">
        <v>112</v>
      </c>
      <c r="E49" s="3">
        <v>598.20540866847136</v>
      </c>
    </row>
    <row r="50" spans="1:5" x14ac:dyDescent="0.25">
      <c r="A50" s="8" t="s">
        <v>12</v>
      </c>
      <c r="B50" s="3">
        <v>382.85245573190463</v>
      </c>
      <c r="C50" s="2" t="s">
        <v>37</v>
      </c>
      <c r="D50" s="2" t="s">
        <v>112</v>
      </c>
      <c r="E50" s="3">
        <v>594.7649681883355</v>
      </c>
    </row>
    <row r="51" spans="1:5" x14ac:dyDescent="0.25">
      <c r="A51" s="8" t="s">
        <v>13</v>
      </c>
      <c r="B51" s="3">
        <v>509.07728245787911</v>
      </c>
      <c r="C51" s="2" t="s">
        <v>37</v>
      </c>
      <c r="D51" s="2" t="s">
        <v>112</v>
      </c>
      <c r="E51" s="3">
        <v>623.25998369660431</v>
      </c>
    </row>
    <row r="52" spans="1:5" x14ac:dyDescent="0.25">
      <c r="A52" s="8" t="s">
        <v>14</v>
      </c>
      <c r="B52" s="3">
        <v>457.19412705180667</v>
      </c>
      <c r="C52" s="2" t="s">
        <v>37</v>
      </c>
      <c r="D52" s="2" t="s">
        <v>112</v>
      </c>
      <c r="E52" s="3">
        <v>612.5108086369662</v>
      </c>
    </row>
    <row r="53" spans="1:5" x14ac:dyDescent="0.25">
      <c r="A53" s="8" t="s">
        <v>15</v>
      </c>
      <c r="B53" s="3">
        <v>285.98133015088513</v>
      </c>
      <c r="C53" s="2" t="s">
        <v>37</v>
      </c>
      <c r="D53" s="2" t="s">
        <v>112</v>
      </c>
      <c r="E53" s="3">
        <v>565.59265294963643</v>
      </c>
    </row>
    <row r="54" spans="1:5" x14ac:dyDescent="0.25">
      <c r="A54" s="8" t="s">
        <v>16</v>
      </c>
      <c r="B54" s="3">
        <v>290.77836067702009</v>
      </c>
      <c r="C54" s="2" t="s">
        <v>37</v>
      </c>
      <c r="D54" s="2" t="s">
        <v>112</v>
      </c>
      <c r="E54" s="3">
        <v>567.25613298129258</v>
      </c>
    </row>
    <row r="55" spans="1:5" x14ac:dyDescent="0.25">
      <c r="A55" s="8" t="s">
        <v>17</v>
      </c>
      <c r="B55" s="3">
        <v>459.26381187410834</v>
      </c>
      <c r="C55" s="2" t="s">
        <v>37</v>
      </c>
      <c r="D55" s="2" t="s">
        <v>112</v>
      </c>
      <c r="E55" s="3">
        <v>612.96247984913532</v>
      </c>
    </row>
    <row r="56" spans="1:5" x14ac:dyDescent="0.25">
      <c r="A56" s="8" t="s">
        <v>18</v>
      </c>
      <c r="B56" s="3">
        <v>270.57192164365449</v>
      </c>
      <c r="C56" s="2" t="s">
        <v>37</v>
      </c>
      <c r="D56" s="2" t="s">
        <v>112</v>
      </c>
      <c r="E56" s="3">
        <v>560.05379470256821</v>
      </c>
    </row>
    <row r="57" spans="1:5" x14ac:dyDescent="0.25">
      <c r="A57" s="8" t="s">
        <v>19</v>
      </c>
      <c r="B57" s="3">
        <v>604.01915288204577</v>
      </c>
      <c r="C57" s="2" t="s">
        <v>37</v>
      </c>
      <c r="D57" s="2" t="s">
        <v>112</v>
      </c>
      <c r="E57" s="3">
        <v>640.36059075016738</v>
      </c>
    </row>
    <row r="58" spans="1:5" x14ac:dyDescent="0.25">
      <c r="A58" s="8" t="s">
        <v>20</v>
      </c>
      <c r="B58" s="3">
        <v>278.48203638621538</v>
      </c>
      <c r="C58" s="2" t="s">
        <v>37</v>
      </c>
      <c r="D58" s="2" t="s">
        <v>112</v>
      </c>
      <c r="E58" s="3">
        <v>562.93535559808117</v>
      </c>
    </row>
    <row r="59" spans="1:5" x14ac:dyDescent="0.25">
      <c r="A59" s="8" t="s">
        <v>22</v>
      </c>
      <c r="B59" s="3">
        <v>449.92470566121381</v>
      </c>
      <c r="C59" s="2" t="s">
        <v>37</v>
      </c>
      <c r="D59" s="2" t="s">
        <v>112</v>
      </c>
      <c r="E59" s="3">
        <v>610.90802480118282</v>
      </c>
    </row>
    <row r="60" spans="1:5" x14ac:dyDescent="0.25">
      <c r="A60" s="8" t="s">
        <v>21</v>
      </c>
      <c r="B60" s="3">
        <v>256.9536564110872</v>
      </c>
      <c r="C60" s="2" t="s">
        <v>37</v>
      </c>
      <c r="D60" s="2" t="s">
        <v>112</v>
      </c>
      <c r="E60" s="3">
        <v>554.88957433859798</v>
      </c>
    </row>
    <row r="61" spans="1:5" x14ac:dyDescent="0.25">
      <c r="A61" s="8" t="s">
        <v>23</v>
      </c>
      <c r="B61" s="3">
        <v>448.1429409968141</v>
      </c>
      <c r="C61" s="2" t="s">
        <v>37</v>
      </c>
      <c r="D61" s="2" t="s">
        <v>112</v>
      </c>
      <c r="E61" s="3">
        <v>610.51122462496915</v>
      </c>
    </row>
    <row r="62" spans="1:5" x14ac:dyDescent="0.25">
      <c r="A62" s="8" t="s">
        <v>4</v>
      </c>
      <c r="B62" s="3">
        <v>625.97412165364346</v>
      </c>
      <c r="C62" s="2" t="s">
        <v>38</v>
      </c>
      <c r="D62" s="2" t="s">
        <v>110</v>
      </c>
      <c r="E62" s="3">
        <v>643.93090310341779</v>
      </c>
    </row>
    <row r="63" spans="1:5" x14ac:dyDescent="0.25">
      <c r="A63" s="8" t="s">
        <v>5</v>
      </c>
      <c r="B63" s="3">
        <v>180.57694483765306</v>
      </c>
      <c r="C63" s="2" t="s">
        <v>38</v>
      </c>
      <c r="D63" s="2" t="s">
        <v>110</v>
      </c>
      <c r="E63" s="3">
        <v>519.61569741275787</v>
      </c>
    </row>
    <row r="64" spans="1:5" x14ac:dyDescent="0.25">
      <c r="A64" s="8" t="s">
        <v>6</v>
      </c>
      <c r="B64" s="3">
        <v>527.91389019544545</v>
      </c>
      <c r="C64" s="2" t="s">
        <v>38</v>
      </c>
      <c r="D64" s="2" t="s">
        <v>110</v>
      </c>
      <c r="E64" s="3">
        <v>626.89331836551207</v>
      </c>
    </row>
    <row r="65" spans="1:5" x14ac:dyDescent="0.25">
      <c r="A65" s="8" t="s">
        <v>7</v>
      </c>
      <c r="B65" s="3">
        <v>636.70800475634246</v>
      </c>
      <c r="C65" s="2" t="s">
        <v>38</v>
      </c>
      <c r="D65" s="2" t="s">
        <v>110</v>
      </c>
      <c r="E65" s="3">
        <v>645.63111592014377</v>
      </c>
    </row>
    <row r="66" spans="1:5" x14ac:dyDescent="0.25">
      <c r="A66" s="8" t="s">
        <v>8</v>
      </c>
      <c r="B66" s="3">
        <v>314.63810400283342</v>
      </c>
      <c r="C66" s="2" t="s">
        <v>38</v>
      </c>
      <c r="D66" s="2" t="s">
        <v>110</v>
      </c>
      <c r="E66" s="3">
        <v>575.14231021800026</v>
      </c>
    </row>
    <row r="67" spans="1:5" x14ac:dyDescent="0.25">
      <c r="A67" s="8" t="s">
        <v>9</v>
      </c>
      <c r="B67" s="3">
        <v>553.05136521151087</v>
      </c>
      <c r="C67" s="2" t="s">
        <v>38</v>
      </c>
      <c r="D67" s="2" t="s">
        <v>110</v>
      </c>
      <c r="E67" s="3">
        <v>631.54508818589329</v>
      </c>
    </row>
    <row r="68" spans="1:5" x14ac:dyDescent="0.25">
      <c r="A68" s="8" t="s">
        <v>10</v>
      </c>
      <c r="B68" s="3">
        <v>280.50643289790895</v>
      </c>
      <c r="C68" s="2" t="s">
        <v>38</v>
      </c>
      <c r="D68" s="2" t="s">
        <v>110</v>
      </c>
      <c r="E68" s="3">
        <v>563.65966583821626</v>
      </c>
    </row>
    <row r="69" spans="1:5" x14ac:dyDescent="0.25">
      <c r="A69" s="8" t="s">
        <v>11</v>
      </c>
      <c r="B69" s="3">
        <v>309.99094912349909</v>
      </c>
      <c r="C69" s="2" t="s">
        <v>38</v>
      </c>
      <c r="D69" s="2" t="s">
        <v>110</v>
      </c>
      <c r="E69" s="3">
        <v>573.65431006771598</v>
      </c>
    </row>
    <row r="70" spans="1:5" x14ac:dyDescent="0.25">
      <c r="A70" s="8" t="s">
        <v>12</v>
      </c>
      <c r="B70" s="3">
        <v>414.24043257194018</v>
      </c>
      <c r="C70" s="2" t="s">
        <v>38</v>
      </c>
      <c r="D70" s="2" t="s">
        <v>110</v>
      </c>
      <c r="E70" s="3">
        <v>602.6446560257076</v>
      </c>
    </row>
    <row r="71" spans="1:5" x14ac:dyDescent="0.25">
      <c r="A71" s="8" t="s">
        <v>13</v>
      </c>
      <c r="B71" s="3">
        <v>568.01241915908906</v>
      </c>
      <c r="C71" s="2" t="s">
        <v>38</v>
      </c>
      <c r="D71" s="2" t="s">
        <v>110</v>
      </c>
      <c r="E71" s="3">
        <v>634.21432831988284</v>
      </c>
    </row>
    <row r="72" spans="1:5" x14ac:dyDescent="0.25">
      <c r="A72" s="8" t="s">
        <v>14</v>
      </c>
      <c r="B72" s="3">
        <v>583.30330320538962</v>
      </c>
      <c r="C72" s="2" t="s">
        <v>38</v>
      </c>
      <c r="D72" s="2" t="s">
        <v>110</v>
      </c>
      <c r="E72" s="3">
        <v>636.87072967049664</v>
      </c>
    </row>
    <row r="73" spans="1:5" x14ac:dyDescent="0.25">
      <c r="A73" s="8" t="s">
        <v>15</v>
      </c>
      <c r="B73" s="3">
        <v>237.57743797913281</v>
      </c>
      <c r="C73" s="2" t="s">
        <v>38</v>
      </c>
      <c r="D73" s="2" t="s">
        <v>110</v>
      </c>
      <c r="E73" s="3">
        <v>547.04936249794105</v>
      </c>
    </row>
    <row r="74" spans="1:5" x14ac:dyDescent="0.25">
      <c r="A74" s="8" t="s">
        <v>16</v>
      </c>
      <c r="B74" s="3">
        <v>348.20663384273956</v>
      </c>
      <c r="C74" s="2" t="s">
        <v>38</v>
      </c>
      <c r="D74" s="2" t="s">
        <v>110</v>
      </c>
      <c r="E74" s="3">
        <v>585.27960789697784</v>
      </c>
    </row>
    <row r="75" spans="1:5" x14ac:dyDescent="0.25">
      <c r="A75" s="8" t="s">
        <v>17</v>
      </c>
      <c r="B75" s="3">
        <v>491.97523616098329</v>
      </c>
      <c r="C75" s="2" t="s">
        <v>38</v>
      </c>
      <c r="D75" s="2" t="s">
        <v>110</v>
      </c>
      <c r="E75" s="3">
        <v>619.84283822194288</v>
      </c>
    </row>
    <row r="76" spans="1:5" x14ac:dyDescent="0.25">
      <c r="A76" s="8" t="s">
        <v>18</v>
      </c>
      <c r="B76" s="3">
        <v>362.7488327516636</v>
      </c>
      <c r="C76" s="2" t="s">
        <v>38</v>
      </c>
      <c r="D76" s="2" t="s">
        <v>110</v>
      </c>
      <c r="E76" s="3">
        <v>589.37106739828653</v>
      </c>
    </row>
    <row r="77" spans="1:5" x14ac:dyDescent="0.25">
      <c r="A77" s="8" t="s">
        <v>19</v>
      </c>
      <c r="B77" s="3">
        <v>576.40178084826709</v>
      </c>
      <c r="C77" s="2" t="s">
        <v>38</v>
      </c>
      <c r="D77" s="2" t="s">
        <v>110</v>
      </c>
      <c r="E77" s="3">
        <v>635.6804953725499</v>
      </c>
    </row>
    <row r="78" spans="1:5" x14ac:dyDescent="0.25">
      <c r="A78" s="8" t="s">
        <v>20</v>
      </c>
      <c r="B78" s="3">
        <v>264.19820005714678</v>
      </c>
      <c r="C78" s="2" t="s">
        <v>38</v>
      </c>
      <c r="D78" s="2" t="s">
        <v>110</v>
      </c>
      <c r="E78" s="3">
        <v>557.66995792608793</v>
      </c>
    </row>
    <row r="79" spans="1:5" x14ac:dyDescent="0.25">
      <c r="A79" s="8" t="s">
        <v>22</v>
      </c>
      <c r="B79" s="3">
        <v>355.11607678559182</v>
      </c>
      <c r="C79" s="2" t="s">
        <v>38</v>
      </c>
      <c r="D79" s="2" t="s">
        <v>110</v>
      </c>
      <c r="E79" s="3">
        <v>587.24447128909537</v>
      </c>
    </row>
    <row r="80" spans="1:5" x14ac:dyDescent="0.25">
      <c r="A80" s="8" t="s">
        <v>21</v>
      </c>
      <c r="B80" s="3">
        <v>248.22442306912228</v>
      </c>
      <c r="C80" s="2" t="s">
        <v>38</v>
      </c>
      <c r="D80" s="2" t="s">
        <v>110</v>
      </c>
      <c r="E80" s="3">
        <v>551.43332686914448</v>
      </c>
    </row>
    <row r="81" spans="1:5" x14ac:dyDescent="0.25">
      <c r="A81" s="8" t="s">
        <v>23</v>
      </c>
      <c r="B81" s="3">
        <v>512.1218143859054</v>
      </c>
      <c r="C81" s="2" t="s">
        <v>38</v>
      </c>
      <c r="D81" s="2" t="s">
        <v>110</v>
      </c>
      <c r="E81" s="3">
        <v>623.8562515463808</v>
      </c>
    </row>
    <row r="82" spans="1:5" x14ac:dyDescent="0.25">
      <c r="A82" s="8" t="s">
        <v>4</v>
      </c>
      <c r="B82" s="3">
        <v>556.23851732836431</v>
      </c>
      <c r="C82" s="2" t="s">
        <v>39</v>
      </c>
      <c r="D82" s="2" t="s">
        <v>111</v>
      </c>
      <c r="E82" s="3">
        <v>632.11971902621929</v>
      </c>
    </row>
    <row r="83" spans="1:5" x14ac:dyDescent="0.25">
      <c r="A83" s="8" t="s">
        <v>5</v>
      </c>
      <c r="B83" s="3">
        <v>199.2070851826108</v>
      </c>
      <c r="C83" s="2" t="s">
        <v>39</v>
      </c>
      <c r="D83" s="2" t="s">
        <v>111</v>
      </c>
      <c r="E83" s="3">
        <v>529.43449127037616</v>
      </c>
    </row>
    <row r="84" spans="1:5" x14ac:dyDescent="0.25">
      <c r="A84" s="8" t="s">
        <v>6</v>
      </c>
      <c r="B84" s="3">
        <v>499.0826986000323</v>
      </c>
      <c r="C84" s="2" t="s">
        <v>39</v>
      </c>
      <c r="D84" s="2" t="s">
        <v>111</v>
      </c>
      <c r="E84" s="3">
        <v>621.27718106774216</v>
      </c>
    </row>
    <row r="85" spans="1:5" x14ac:dyDescent="0.25">
      <c r="A85" s="8" t="s">
        <v>7</v>
      </c>
      <c r="B85" s="3">
        <v>548.60228664447254</v>
      </c>
      <c r="C85" s="2" t="s">
        <v>39</v>
      </c>
      <c r="D85" s="2" t="s">
        <v>111</v>
      </c>
      <c r="E85" s="3">
        <v>630.73737466400451</v>
      </c>
    </row>
    <row r="86" spans="1:5" x14ac:dyDescent="0.25">
      <c r="A86" s="8" t="s">
        <v>8</v>
      </c>
      <c r="B86" s="3">
        <v>281.28191820975479</v>
      </c>
      <c r="C86" s="2" t="s">
        <v>39</v>
      </c>
      <c r="D86" s="2" t="s">
        <v>111</v>
      </c>
      <c r="E86" s="3">
        <v>563.93574340474879</v>
      </c>
    </row>
    <row r="87" spans="1:5" x14ac:dyDescent="0.25">
      <c r="A87" s="8" t="s">
        <v>9</v>
      </c>
      <c r="B87" s="3">
        <v>533.60951888686486</v>
      </c>
      <c r="C87" s="2" t="s">
        <v>39</v>
      </c>
      <c r="D87" s="2" t="s">
        <v>111</v>
      </c>
      <c r="E87" s="3">
        <v>627.96643334356759</v>
      </c>
    </row>
    <row r="88" spans="1:5" x14ac:dyDescent="0.25">
      <c r="A88" s="8" t="s">
        <v>10</v>
      </c>
      <c r="B88" s="3">
        <v>281.03066834193032</v>
      </c>
      <c r="C88" s="2" t="s">
        <v>39</v>
      </c>
      <c r="D88" s="2" t="s">
        <v>111</v>
      </c>
      <c r="E88" s="3">
        <v>563.84638033852775</v>
      </c>
    </row>
    <row r="89" spans="1:5" x14ac:dyDescent="0.25">
      <c r="A89" s="8" t="s">
        <v>11</v>
      </c>
      <c r="B89" s="3">
        <v>346.72449925515525</v>
      </c>
      <c r="C89" s="2" t="s">
        <v>39</v>
      </c>
      <c r="D89" s="2" t="s">
        <v>111</v>
      </c>
      <c r="E89" s="3">
        <v>584.85305143280902</v>
      </c>
    </row>
    <row r="90" spans="1:5" x14ac:dyDescent="0.25">
      <c r="A90" s="8" t="s">
        <v>12</v>
      </c>
      <c r="B90" s="3">
        <v>423.39688455081472</v>
      </c>
      <c r="C90" s="2" t="s">
        <v>39</v>
      </c>
      <c r="D90" s="2" t="s">
        <v>111</v>
      </c>
      <c r="E90" s="3">
        <v>604.83100005036761</v>
      </c>
    </row>
    <row r="91" spans="1:5" x14ac:dyDescent="0.25">
      <c r="A91" s="8" t="s">
        <v>13</v>
      </c>
      <c r="B91" s="3">
        <v>493.67136866698792</v>
      </c>
      <c r="C91" s="2" t="s">
        <v>39</v>
      </c>
      <c r="D91" s="2" t="s">
        <v>111</v>
      </c>
      <c r="E91" s="3">
        <v>620.18700502004901</v>
      </c>
    </row>
    <row r="92" spans="1:5" x14ac:dyDescent="0.25">
      <c r="A92" s="8" t="s">
        <v>14</v>
      </c>
      <c r="B92" s="3">
        <v>442.02312416680303</v>
      </c>
      <c r="C92" s="2" t="s">
        <v>39</v>
      </c>
      <c r="D92" s="2" t="s">
        <v>111</v>
      </c>
      <c r="E92" s="3">
        <v>609.13621978286687</v>
      </c>
    </row>
    <row r="93" spans="1:5" x14ac:dyDescent="0.25">
      <c r="A93" s="8" t="s">
        <v>15</v>
      </c>
      <c r="B93" s="3">
        <v>299.00936610469097</v>
      </c>
      <c r="C93" s="2" t="s">
        <v>39</v>
      </c>
      <c r="D93" s="2" t="s">
        <v>111</v>
      </c>
      <c r="E93" s="3">
        <v>570.04748976649284</v>
      </c>
    </row>
    <row r="94" spans="1:5" x14ac:dyDescent="0.25">
      <c r="A94" s="8" t="s">
        <v>16</v>
      </c>
      <c r="B94" s="3">
        <v>387.07943677488606</v>
      </c>
      <c r="C94" s="2" t="s">
        <v>39</v>
      </c>
      <c r="D94" s="2" t="s">
        <v>111</v>
      </c>
      <c r="E94" s="3">
        <v>595.86299349504191</v>
      </c>
    </row>
    <row r="95" spans="1:5" x14ac:dyDescent="0.25">
      <c r="A95" s="8" t="s">
        <v>17</v>
      </c>
      <c r="B95" s="3">
        <v>457.9951475540804</v>
      </c>
      <c r="C95" s="2" t="s">
        <v>39</v>
      </c>
      <c r="D95" s="2" t="s">
        <v>111</v>
      </c>
      <c r="E95" s="3">
        <v>612.68585891979728</v>
      </c>
    </row>
    <row r="96" spans="1:5" x14ac:dyDescent="0.25">
      <c r="A96" s="8" t="s">
        <v>18</v>
      </c>
      <c r="B96" s="3">
        <v>321.25643719244226</v>
      </c>
      <c r="C96" s="2" t="s">
        <v>39</v>
      </c>
      <c r="D96" s="2" t="s">
        <v>111</v>
      </c>
      <c r="E96" s="3">
        <v>577.22396739618</v>
      </c>
    </row>
    <row r="97" spans="1:5" x14ac:dyDescent="0.25">
      <c r="A97" s="8" t="s">
        <v>19</v>
      </c>
      <c r="B97" s="3">
        <v>722.85890264052034</v>
      </c>
      <c r="C97" s="2" t="s">
        <v>39</v>
      </c>
      <c r="D97" s="2" t="s">
        <v>111</v>
      </c>
      <c r="E97" s="3">
        <v>658.32140477061682</v>
      </c>
    </row>
    <row r="98" spans="1:5" x14ac:dyDescent="0.25">
      <c r="A98" s="8" t="s">
        <v>20</v>
      </c>
      <c r="B98" s="3">
        <v>238.39905419203768</v>
      </c>
      <c r="C98" s="2" t="s">
        <v>39</v>
      </c>
      <c r="D98" s="2" t="s">
        <v>111</v>
      </c>
      <c r="E98" s="3">
        <v>547.39459678680464</v>
      </c>
    </row>
    <row r="99" spans="1:5" x14ac:dyDescent="0.25">
      <c r="A99" s="8" t="s">
        <v>22</v>
      </c>
      <c r="B99" s="3">
        <v>423.7425019048091</v>
      </c>
      <c r="C99" s="2" t="s">
        <v>39</v>
      </c>
      <c r="D99" s="2" t="s">
        <v>111</v>
      </c>
      <c r="E99" s="3">
        <v>604.91259639181885</v>
      </c>
    </row>
    <row r="100" spans="1:5" x14ac:dyDescent="0.25">
      <c r="A100" s="8" t="s">
        <v>21</v>
      </c>
      <c r="B100" s="3">
        <v>228.41431149439617</v>
      </c>
      <c r="C100" s="2" t="s">
        <v>39</v>
      </c>
      <c r="D100" s="2" t="s">
        <v>111</v>
      </c>
      <c r="E100" s="3">
        <v>543.11611356016329</v>
      </c>
    </row>
    <row r="101" spans="1:5" x14ac:dyDescent="0.25">
      <c r="A101" s="8" t="s">
        <v>23</v>
      </c>
      <c r="B101" s="3">
        <v>518.75397695052857</v>
      </c>
      <c r="C101" s="2" t="s">
        <v>39</v>
      </c>
      <c r="D101" s="2" t="s">
        <v>111</v>
      </c>
      <c r="E101" s="3">
        <v>625.14297379261791</v>
      </c>
    </row>
    <row r="102" spans="1:5" x14ac:dyDescent="0.25">
      <c r="A102" s="8" t="s">
        <v>4</v>
      </c>
      <c r="B102" s="3">
        <v>629.69262370244178</v>
      </c>
      <c r="C102" s="2" t="s">
        <v>40</v>
      </c>
      <c r="D102" s="2" t="s">
        <v>112</v>
      </c>
      <c r="E102" s="3">
        <v>644.52318014391756</v>
      </c>
    </row>
    <row r="103" spans="1:5" x14ac:dyDescent="0.25">
      <c r="A103" s="8" t="s">
        <v>5</v>
      </c>
      <c r="B103" s="3">
        <v>186.96803129179469</v>
      </c>
      <c r="C103" s="2" t="s">
        <v>40</v>
      </c>
      <c r="D103" s="2" t="s">
        <v>112</v>
      </c>
      <c r="E103" s="3">
        <v>523.09376465811499</v>
      </c>
    </row>
    <row r="104" spans="1:5" x14ac:dyDescent="0.25">
      <c r="A104" s="8" t="s">
        <v>6</v>
      </c>
      <c r="B104" s="3">
        <v>401.31988951544577</v>
      </c>
      <c r="C104" s="2" t="s">
        <v>40</v>
      </c>
      <c r="D104" s="2" t="s">
        <v>112</v>
      </c>
      <c r="E104" s="3">
        <v>599.47588387544886</v>
      </c>
    </row>
    <row r="105" spans="1:5" x14ac:dyDescent="0.25">
      <c r="A105" s="8" t="s">
        <v>7</v>
      </c>
      <c r="B105" s="3">
        <v>514.30646119362791</v>
      </c>
      <c r="C105" s="2" t="s">
        <v>40</v>
      </c>
      <c r="D105" s="2" t="s">
        <v>112</v>
      </c>
      <c r="E105" s="3">
        <v>624.28193157850353</v>
      </c>
    </row>
    <row r="106" spans="1:5" x14ac:dyDescent="0.25">
      <c r="A106" s="8" t="s">
        <v>8</v>
      </c>
      <c r="B106" s="3">
        <v>307.24887400799685</v>
      </c>
      <c r="C106" s="2" t="s">
        <v>40</v>
      </c>
      <c r="D106" s="2" t="s">
        <v>112</v>
      </c>
      <c r="E106" s="3">
        <v>572.76580836973517</v>
      </c>
    </row>
    <row r="107" spans="1:5" x14ac:dyDescent="0.25">
      <c r="A107" s="8" t="s">
        <v>9</v>
      </c>
      <c r="B107" s="3">
        <v>576.23253404906586</v>
      </c>
      <c r="C107" s="2" t="s">
        <v>40</v>
      </c>
      <c r="D107" s="2" t="s">
        <v>112</v>
      </c>
      <c r="E107" s="3">
        <v>635.65112841752693</v>
      </c>
    </row>
    <row r="108" spans="1:5" x14ac:dyDescent="0.25">
      <c r="A108" s="8" t="s">
        <v>10</v>
      </c>
      <c r="B108" s="3">
        <v>301.44990612585042</v>
      </c>
      <c r="C108" s="2" t="s">
        <v>40</v>
      </c>
      <c r="D108" s="2" t="s">
        <v>112</v>
      </c>
      <c r="E108" s="3">
        <v>570.86038535266766</v>
      </c>
    </row>
    <row r="109" spans="1:5" x14ac:dyDescent="0.25">
      <c r="A109" s="8" t="s">
        <v>11</v>
      </c>
      <c r="B109" s="3">
        <v>315.91541425553191</v>
      </c>
      <c r="C109" s="2" t="s">
        <v>40</v>
      </c>
      <c r="D109" s="2" t="s">
        <v>112</v>
      </c>
      <c r="E109" s="3">
        <v>575.54745013486445</v>
      </c>
    </row>
    <row r="110" spans="1:5" x14ac:dyDescent="0.25">
      <c r="A110" s="8" t="s">
        <v>12</v>
      </c>
      <c r="B110" s="3">
        <v>442.90325467249238</v>
      </c>
      <c r="C110" s="2" t="s">
        <v>40</v>
      </c>
      <c r="D110" s="2" t="s">
        <v>112</v>
      </c>
      <c r="E110" s="3">
        <v>609.33513594514693</v>
      </c>
    </row>
    <row r="111" spans="1:5" x14ac:dyDescent="0.25">
      <c r="A111" s="8" t="s">
        <v>13</v>
      </c>
      <c r="B111" s="3">
        <v>463.90439604674185</v>
      </c>
      <c r="C111" s="2" t="s">
        <v>40</v>
      </c>
      <c r="D111" s="2" t="s">
        <v>112</v>
      </c>
      <c r="E111" s="3">
        <v>613.96784879937684</v>
      </c>
    </row>
    <row r="112" spans="1:5" x14ac:dyDescent="0.25">
      <c r="A112" s="8" t="s">
        <v>14</v>
      </c>
      <c r="B112" s="3">
        <v>447.43941312176406</v>
      </c>
      <c r="C112" s="2" t="s">
        <v>40</v>
      </c>
      <c r="D112" s="2" t="s">
        <v>112</v>
      </c>
      <c r="E112" s="3">
        <v>610.35411388768659</v>
      </c>
    </row>
    <row r="113" spans="1:5" x14ac:dyDescent="0.25">
      <c r="A113" s="8" t="s">
        <v>15</v>
      </c>
      <c r="B113" s="3">
        <v>259.76267742797353</v>
      </c>
      <c r="C113" s="2" t="s">
        <v>40</v>
      </c>
      <c r="D113" s="2" t="s">
        <v>112</v>
      </c>
      <c r="E113" s="3">
        <v>555.97684350558131</v>
      </c>
    </row>
    <row r="114" spans="1:5" x14ac:dyDescent="0.25">
      <c r="A114" s="8" t="s">
        <v>16</v>
      </c>
      <c r="B114" s="3">
        <v>309.74425148888417</v>
      </c>
      <c r="C114" s="2" t="s">
        <v>40</v>
      </c>
      <c r="D114" s="2" t="s">
        <v>112</v>
      </c>
      <c r="E114" s="3">
        <v>573.57469617862216</v>
      </c>
    </row>
    <row r="115" spans="1:5" x14ac:dyDescent="0.25">
      <c r="A115" s="8" t="s">
        <v>17</v>
      </c>
      <c r="B115" s="3">
        <v>420.92768955009331</v>
      </c>
      <c r="C115" s="2" t="s">
        <v>40</v>
      </c>
      <c r="D115" s="2" t="s">
        <v>112</v>
      </c>
      <c r="E115" s="3">
        <v>604.24610601417749</v>
      </c>
    </row>
    <row r="116" spans="1:5" x14ac:dyDescent="0.25">
      <c r="A116" s="8" t="s">
        <v>18</v>
      </c>
      <c r="B116" s="3">
        <v>299.86655115915306</v>
      </c>
      <c r="C116" s="2" t="s">
        <v>40</v>
      </c>
      <c r="D116" s="2" t="s">
        <v>112</v>
      </c>
      <c r="E116" s="3">
        <v>570.33375462207334</v>
      </c>
    </row>
    <row r="117" spans="1:5" x14ac:dyDescent="0.25">
      <c r="A117" s="8" t="s">
        <v>19</v>
      </c>
      <c r="B117" s="3">
        <v>577.06066775382419</v>
      </c>
      <c r="C117" s="2" t="s">
        <v>40</v>
      </c>
      <c r="D117" s="2" t="s">
        <v>112</v>
      </c>
      <c r="E117" s="3">
        <v>635.7947404401757</v>
      </c>
    </row>
    <row r="118" spans="1:5" x14ac:dyDescent="0.25">
      <c r="A118" s="8" t="s">
        <v>20</v>
      </c>
      <c r="B118" s="3">
        <v>278.22212379860088</v>
      </c>
      <c r="C118" s="2" t="s">
        <v>40</v>
      </c>
      <c r="D118" s="2" t="s">
        <v>112</v>
      </c>
      <c r="E118" s="3">
        <v>562.84198011246849</v>
      </c>
    </row>
    <row r="119" spans="1:5" x14ac:dyDescent="0.25">
      <c r="A119" s="8" t="s">
        <v>22</v>
      </c>
      <c r="B119" s="3">
        <v>396.19202595123187</v>
      </c>
      <c r="C119" s="2" t="s">
        <v>40</v>
      </c>
      <c r="D119" s="2" t="s">
        <v>112</v>
      </c>
      <c r="E119" s="3">
        <v>598.18990077399349</v>
      </c>
    </row>
    <row r="120" spans="1:5" x14ac:dyDescent="0.25">
      <c r="A120" s="8" t="s">
        <v>21</v>
      </c>
      <c r="B120" s="3">
        <v>241.66993250511882</v>
      </c>
      <c r="C120" s="2" t="s">
        <v>40</v>
      </c>
      <c r="D120" s="2" t="s">
        <v>112</v>
      </c>
      <c r="E120" s="3">
        <v>548.75728799095396</v>
      </c>
    </row>
    <row r="121" spans="1:5" x14ac:dyDescent="0.25">
      <c r="A121" s="8" t="s">
        <v>23</v>
      </c>
      <c r="B121" s="3">
        <v>464.34589155309311</v>
      </c>
      <c r="C121" s="2" t="s">
        <v>40</v>
      </c>
      <c r="D121" s="2" t="s">
        <v>112</v>
      </c>
      <c r="E121" s="3">
        <v>614.0629730445379</v>
      </c>
    </row>
    <row r="122" spans="1:5" x14ac:dyDescent="0.25">
      <c r="A122" s="8" t="s">
        <v>4</v>
      </c>
      <c r="B122" s="3">
        <v>662.43443970567694</v>
      </c>
      <c r="C122" s="2" t="s">
        <v>41</v>
      </c>
      <c r="D122" s="2" t="s">
        <v>110</v>
      </c>
      <c r="E122" s="3">
        <v>649.59215940287913</v>
      </c>
    </row>
    <row r="123" spans="1:5" x14ac:dyDescent="0.25">
      <c r="A123" s="8" t="s">
        <v>5</v>
      </c>
      <c r="B123" s="3">
        <v>221.03494784023454</v>
      </c>
      <c r="C123" s="2" t="s">
        <v>41</v>
      </c>
      <c r="D123" s="2" t="s">
        <v>110</v>
      </c>
      <c r="E123" s="3">
        <v>539.8320824039414</v>
      </c>
    </row>
    <row r="124" spans="1:5" x14ac:dyDescent="0.25">
      <c r="A124" s="8" t="s">
        <v>6</v>
      </c>
      <c r="B124" s="3">
        <v>515.02921682796102</v>
      </c>
      <c r="C124" s="2" t="s">
        <v>41</v>
      </c>
      <c r="D124" s="2" t="s">
        <v>110</v>
      </c>
      <c r="E124" s="3">
        <v>624.42236307593328</v>
      </c>
    </row>
    <row r="125" spans="1:5" x14ac:dyDescent="0.25">
      <c r="A125" s="8" t="s">
        <v>7</v>
      </c>
      <c r="B125" s="3">
        <v>546.34544457983441</v>
      </c>
      <c r="C125" s="2" t="s">
        <v>41</v>
      </c>
      <c r="D125" s="2" t="s">
        <v>110</v>
      </c>
      <c r="E125" s="3">
        <v>630.32514580664349</v>
      </c>
    </row>
    <row r="126" spans="1:5" x14ac:dyDescent="0.25">
      <c r="A126" s="8" t="s">
        <v>8</v>
      </c>
      <c r="B126" s="3">
        <v>327.20065334060172</v>
      </c>
      <c r="C126" s="2" t="s">
        <v>41</v>
      </c>
      <c r="D126" s="2" t="s">
        <v>110</v>
      </c>
      <c r="E126" s="3">
        <v>579.05736014888282</v>
      </c>
    </row>
    <row r="127" spans="1:5" x14ac:dyDescent="0.25">
      <c r="A127" s="8" t="s">
        <v>9</v>
      </c>
      <c r="B127" s="3">
        <v>638.89612108824758</v>
      </c>
      <c r="C127" s="2" t="s">
        <v>41</v>
      </c>
      <c r="D127" s="2" t="s">
        <v>110</v>
      </c>
      <c r="E127" s="3">
        <v>645.97418763553196</v>
      </c>
    </row>
    <row r="128" spans="1:5" x14ac:dyDescent="0.25">
      <c r="A128" s="8" t="s">
        <v>10</v>
      </c>
      <c r="B128" s="3">
        <v>334.89807138077538</v>
      </c>
      <c r="C128" s="2" t="s">
        <v>41</v>
      </c>
      <c r="D128" s="2" t="s">
        <v>110</v>
      </c>
      <c r="E128" s="3">
        <v>581.3826220992222</v>
      </c>
    </row>
    <row r="129" spans="1:5" x14ac:dyDescent="0.25">
      <c r="A129" s="8" t="s">
        <v>11</v>
      </c>
      <c r="B129" s="3">
        <v>418.17114495876274</v>
      </c>
      <c r="C129" s="2" t="s">
        <v>41</v>
      </c>
      <c r="D129" s="2" t="s">
        <v>110</v>
      </c>
      <c r="E129" s="3">
        <v>603.58907864284026</v>
      </c>
    </row>
    <row r="130" spans="1:5" x14ac:dyDescent="0.25">
      <c r="A130" s="8" t="s">
        <v>12</v>
      </c>
      <c r="B130" s="3">
        <v>350.07965999651958</v>
      </c>
      <c r="C130" s="2" t="s">
        <v>41</v>
      </c>
      <c r="D130" s="2" t="s">
        <v>110</v>
      </c>
      <c r="E130" s="3">
        <v>585.81607285765665</v>
      </c>
    </row>
    <row r="131" spans="1:5" x14ac:dyDescent="0.25">
      <c r="A131" s="8" t="s">
        <v>13</v>
      </c>
      <c r="B131" s="3">
        <v>504.99355513495584</v>
      </c>
      <c r="C131" s="2" t="s">
        <v>41</v>
      </c>
      <c r="D131" s="2" t="s">
        <v>110</v>
      </c>
      <c r="E131" s="3">
        <v>622.45456670849251</v>
      </c>
    </row>
    <row r="132" spans="1:5" x14ac:dyDescent="0.25">
      <c r="A132" s="8" t="s">
        <v>14</v>
      </c>
      <c r="B132" s="3">
        <v>531.741590675569</v>
      </c>
      <c r="C132" s="2" t="s">
        <v>41</v>
      </c>
      <c r="D132" s="2" t="s">
        <v>110</v>
      </c>
      <c r="E132" s="3">
        <v>627.61576395228929</v>
      </c>
    </row>
    <row r="133" spans="1:5" x14ac:dyDescent="0.25">
      <c r="A133" s="8" t="s">
        <v>15</v>
      </c>
      <c r="B133" s="3">
        <v>316.98432810237972</v>
      </c>
      <c r="C133" s="2" t="s">
        <v>41</v>
      </c>
      <c r="D133" s="2" t="s">
        <v>110</v>
      </c>
      <c r="E133" s="3">
        <v>575.8852334492334</v>
      </c>
    </row>
    <row r="134" spans="1:5" x14ac:dyDescent="0.25">
      <c r="A134" s="8" t="s">
        <v>16</v>
      </c>
      <c r="B134" s="3">
        <v>390.59758010879824</v>
      </c>
      <c r="C134" s="2" t="s">
        <v>41</v>
      </c>
      <c r="D134" s="2" t="s">
        <v>110</v>
      </c>
      <c r="E134" s="3">
        <v>596.76778231054107</v>
      </c>
    </row>
    <row r="135" spans="1:5" x14ac:dyDescent="0.25">
      <c r="A135" s="8" t="s">
        <v>17</v>
      </c>
      <c r="B135" s="3">
        <v>508.96627675867177</v>
      </c>
      <c r="C135" s="2" t="s">
        <v>41</v>
      </c>
      <c r="D135" s="2" t="s">
        <v>110</v>
      </c>
      <c r="E135" s="3">
        <v>623.23817604433987</v>
      </c>
    </row>
    <row r="136" spans="1:5" x14ac:dyDescent="0.25">
      <c r="A136" s="8" t="s">
        <v>18</v>
      </c>
      <c r="B136" s="3">
        <v>366.13151959593313</v>
      </c>
      <c r="C136" s="2" t="s">
        <v>41</v>
      </c>
      <c r="D136" s="2" t="s">
        <v>110</v>
      </c>
      <c r="E136" s="3">
        <v>590.29926120113635</v>
      </c>
    </row>
    <row r="137" spans="1:5" x14ac:dyDescent="0.25">
      <c r="A137" s="8" t="s">
        <v>19</v>
      </c>
      <c r="B137" s="3">
        <v>646.37724636859002</v>
      </c>
      <c r="C137" s="2" t="s">
        <v>41</v>
      </c>
      <c r="D137" s="2" t="s">
        <v>110</v>
      </c>
      <c r="E137" s="3">
        <v>647.138330604369</v>
      </c>
    </row>
    <row r="138" spans="1:5" x14ac:dyDescent="0.25">
      <c r="A138" s="8" t="s">
        <v>20</v>
      </c>
      <c r="B138" s="3">
        <v>297.8137259373072</v>
      </c>
      <c r="C138" s="2" t="s">
        <v>41</v>
      </c>
      <c r="D138" s="2" t="s">
        <v>110</v>
      </c>
      <c r="E138" s="3">
        <v>569.64682103136931</v>
      </c>
    </row>
    <row r="139" spans="1:5" x14ac:dyDescent="0.25">
      <c r="A139" s="8" t="s">
        <v>22</v>
      </c>
      <c r="B139" s="3">
        <v>448.40419895861174</v>
      </c>
      <c r="C139" s="2" t="s">
        <v>41</v>
      </c>
      <c r="D139" s="2" t="s">
        <v>110</v>
      </c>
      <c r="E139" s="3">
        <v>610.56950554686375</v>
      </c>
    </row>
    <row r="140" spans="1:5" x14ac:dyDescent="0.25">
      <c r="A140" s="8" t="s">
        <v>21</v>
      </c>
      <c r="B140" s="3">
        <v>251.41503438442484</v>
      </c>
      <c r="C140" s="2" t="s">
        <v>41</v>
      </c>
      <c r="D140" s="2" t="s">
        <v>110</v>
      </c>
      <c r="E140" s="3">
        <v>552.710509701094</v>
      </c>
    </row>
    <row r="141" spans="1:5" x14ac:dyDescent="0.25">
      <c r="A141" s="8" t="s">
        <v>23</v>
      </c>
      <c r="B141" s="3">
        <v>520.64993439466127</v>
      </c>
      <c r="C141" s="2" t="s">
        <v>41</v>
      </c>
      <c r="D141" s="2" t="s">
        <v>110</v>
      </c>
      <c r="E141" s="3">
        <v>625.50779049692926</v>
      </c>
    </row>
    <row r="142" spans="1:5" x14ac:dyDescent="0.25">
      <c r="A142" s="8" t="s">
        <v>4</v>
      </c>
      <c r="B142" s="3">
        <v>645.17699960024163</v>
      </c>
      <c r="C142" s="2" t="s">
        <v>42</v>
      </c>
      <c r="D142" s="2" t="s">
        <v>111</v>
      </c>
      <c r="E142" s="3">
        <v>646.9524697134915</v>
      </c>
    </row>
    <row r="143" spans="1:5" x14ac:dyDescent="0.25">
      <c r="A143" s="8" t="s">
        <v>5</v>
      </c>
      <c r="B143" s="3">
        <v>233.56412492259201</v>
      </c>
      <c r="C143" s="2" t="s">
        <v>42</v>
      </c>
      <c r="D143" s="2" t="s">
        <v>111</v>
      </c>
      <c r="E143" s="3">
        <v>545.34566643425808</v>
      </c>
    </row>
    <row r="144" spans="1:5" x14ac:dyDescent="0.25">
      <c r="A144" s="8" t="s">
        <v>6</v>
      </c>
      <c r="B144" s="3">
        <v>564.92218304516143</v>
      </c>
      <c r="C144" s="2" t="s">
        <v>42</v>
      </c>
      <c r="D144" s="2" t="s">
        <v>111</v>
      </c>
      <c r="E144" s="3">
        <v>633.66879925373064</v>
      </c>
    </row>
    <row r="145" spans="1:5" x14ac:dyDescent="0.25">
      <c r="A145" s="8" t="s">
        <v>7</v>
      </c>
      <c r="B145" s="3">
        <v>571.60423762969981</v>
      </c>
      <c r="C145" s="2" t="s">
        <v>42</v>
      </c>
      <c r="D145" s="2" t="s">
        <v>111</v>
      </c>
      <c r="E145" s="3">
        <v>634.8446859656118</v>
      </c>
    </row>
    <row r="146" spans="1:5" x14ac:dyDescent="0.25">
      <c r="A146" s="8" t="s">
        <v>8</v>
      </c>
      <c r="B146" s="3">
        <v>288.67788355477541</v>
      </c>
      <c r="C146" s="2" t="s">
        <v>42</v>
      </c>
      <c r="D146" s="2" t="s">
        <v>111</v>
      </c>
      <c r="E146" s="3">
        <v>566.53114767194427</v>
      </c>
    </row>
    <row r="147" spans="1:5" x14ac:dyDescent="0.25">
      <c r="A147" s="8" t="s">
        <v>9</v>
      </c>
      <c r="B147" s="3">
        <v>552.42267062662461</v>
      </c>
      <c r="C147" s="2" t="s">
        <v>42</v>
      </c>
      <c r="D147" s="2" t="s">
        <v>111</v>
      </c>
      <c r="E147" s="3">
        <v>631.43134609294771</v>
      </c>
    </row>
    <row r="148" spans="1:5" x14ac:dyDescent="0.25">
      <c r="A148" s="8" t="s">
        <v>10</v>
      </c>
      <c r="B148" s="3">
        <v>309.86171460866842</v>
      </c>
      <c r="C148" s="2" t="s">
        <v>42</v>
      </c>
      <c r="D148" s="2" t="s">
        <v>111</v>
      </c>
      <c r="E148" s="3">
        <v>573.61261160475385</v>
      </c>
    </row>
    <row r="149" spans="1:5" x14ac:dyDescent="0.25">
      <c r="A149" s="8" t="s">
        <v>11</v>
      </c>
      <c r="B149" s="3">
        <v>331.15936825732655</v>
      </c>
      <c r="C149" s="2" t="s">
        <v>42</v>
      </c>
      <c r="D149" s="2" t="s">
        <v>111</v>
      </c>
      <c r="E149" s="3">
        <v>580.25997346027827</v>
      </c>
    </row>
    <row r="150" spans="1:5" x14ac:dyDescent="0.25">
      <c r="A150" s="8" t="s">
        <v>12</v>
      </c>
      <c r="B150" s="3">
        <v>395.92773242733301</v>
      </c>
      <c r="C150" s="2" t="s">
        <v>42</v>
      </c>
      <c r="D150" s="2" t="s">
        <v>111</v>
      </c>
      <c r="E150" s="3">
        <v>598.12317007300771</v>
      </c>
    </row>
    <row r="151" spans="1:5" x14ac:dyDescent="0.25">
      <c r="A151" s="8" t="s">
        <v>13</v>
      </c>
      <c r="B151" s="3">
        <v>507.32910967928933</v>
      </c>
      <c r="C151" s="2" t="s">
        <v>42</v>
      </c>
      <c r="D151" s="2" t="s">
        <v>111</v>
      </c>
      <c r="E151" s="3">
        <v>622.91599245137866</v>
      </c>
    </row>
    <row r="152" spans="1:5" x14ac:dyDescent="0.25">
      <c r="A152" s="8" t="s">
        <v>14</v>
      </c>
      <c r="B152" s="3">
        <v>516.87488151664456</v>
      </c>
      <c r="C152" s="2" t="s">
        <v>42</v>
      </c>
      <c r="D152" s="2" t="s">
        <v>111</v>
      </c>
      <c r="E152" s="3">
        <v>624.78008365477376</v>
      </c>
    </row>
    <row r="153" spans="1:5" x14ac:dyDescent="0.25">
      <c r="A153" s="8" t="s">
        <v>15</v>
      </c>
      <c r="B153" s="3">
        <v>298.0977064847512</v>
      </c>
      <c r="C153" s="2" t="s">
        <v>42</v>
      </c>
      <c r="D153" s="2" t="s">
        <v>111</v>
      </c>
      <c r="E153" s="3">
        <v>569.74213068763379</v>
      </c>
    </row>
    <row r="154" spans="1:5" x14ac:dyDescent="0.25">
      <c r="A154" s="8" t="s">
        <v>16</v>
      </c>
      <c r="B154" s="3">
        <v>389.63886363350935</v>
      </c>
      <c r="C154" s="2" t="s">
        <v>42</v>
      </c>
      <c r="D154" s="2" t="s">
        <v>111</v>
      </c>
      <c r="E154" s="3">
        <v>596.52203194461595</v>
      </c>
    </row>
    <row r="155" spans="1:5" x14ac:dyDescent="0.25">
      <c r="A155" s="8" t="s">
        <v>17</v>
      </c>
      <c r="B155" s="3">
        <v>441.36445709378495</v>
      </c>
      <c r="C155" s="2" t="s">
        <v>42</v>
      </c>
      <c r="D155" s="2" t="s">
        <v>111</v>
      </c>
      <c r="E155" s="3">
        <v>608.98709674581028</v>
      </c>
    </row>
    <row r="156" spans="1:5" x14ac:dyDescent="0.25">
      <c r="A156" s="8" t="s">
        <v>18</v>
      </c>
      <c r="B156" s="3">
        <v>330.66196693840698</v>
      </c>
      <c r="C156" s="2" t="s">
        <v>42</v>
      </c>
      <c r="D156" s="2" t="s">
        <v>111</v>
      </c>
      <c r="E156" s="3">
        <v>580.10966056278767</v>
      </c>
    </row>
    <row r="157" spans="1:5" x14ac:dyDescent="0.25">
      <c r="A157" s="8" t="s">
        <v>19</v>
      </c>
      <c r="B157" s="3">
        <v>740.5099357185286</v>
      </c>
      <c r="C157" s="2" t="s">
        <v>42</v>
      </c>
      <c r="D157" s="2" t="s">
        <v>111</v>
      </c>
      <c r="E157" s="3">
        <v>660.73390511985656</v>
      </c>
    </row>
    <row r="158" spans="1:5" x14ac:dyDescent="0.25">
      <c r="A158" s="8" t="s">
        <v>20</v>
      </c>
      <c r="B158" s="3">
        <v>283.39943029535203</v>
      </c>
      <c r="C158" s="2" t="s">
        <v>42</v>
      </c>
      <c r="D158" s="2" t="s">
        <v>111</v>
      </c>
      <c r="E158" s="3">
        <v>564.6857317005273</v>
      </c>
    </row>
    <row r="159" spans="1:5" x14ac:dyDescent="0.25">
      <c r="A159" s="8" t="s">
        <v>22</v>
      </c>
      <c r="B159" s="3">
        <v>382.683496057963</v>
      </c>
      <c r="C159" s="2" t="s">
        <v>42</v>
      </c>
      <c r="D159" s="2" t="s">
        <v>111</v>
      </c>
      <c r="E159" s="3">
        <v>594.72082664898915</v>
      </c>
    </row>
    <row r="160" spans="1:5" x14ac:dyDescent="0.25">
      <c r="A160" s="8" t="s">
        <v>21</v>
      </c>
      <c r="B160" s="3">
        <v>265.53943989630324</v>
      </c>
      <c r="C160" s="2" t="s">
        <v>42</v>
      </c>
      <c r="D160" s="2" t="s">
        <v>111</v>
      </c>
      <c r="E160" s="3">
        <v>558.17633791648734</v>
      </c>
    </row>
    <row r="161" spans="1:5" x14ac:dyDescent="0.25">
      <c r="A161" s="8" t="s">
        <v>23</v>
      </c>
      <c r="B161" s="3">
        <v>507.3685203988411</v>
      </c>
      <c r="C161" s="2" t="s">
        <v>42</v>
      </c>
      <c r="D161" s="2" t="s">
        <v>111</v>
      </c>
      <c r="E161" s="3">
        <v>622.92376042449757</v>
      </c>
    </row>
    <row r="162" spans="1:5" x14ac:dyDescent="0.25">
      <c r="A162" s="8" t="s">
        <v>4</v>
      </c>
      <c r="B162" s="3">
        <v>628.61852133160573</v>
      </c>
      <c r="C162" s="2" t="s">
        <v>43</v>
      </c>
      <c r="D162" s="2" t="s">
        <v>112</v>
      </c>
      <c r="E162" s="3">
        <v>644.35245883449352</v>
      </c>
    </row>
    <row r="163" spans="1:5" x14ac:dyDescent="0.25">
      <c r="A163" s="8" t="s">
        <v>5</v>
      </c>
      <c r="B163" s="3">
        <v>203.57994762346144</v>
      </c>
      <c r="C163" s="2" t="s">
        <v>43</v>
      </c>
      <c r="D163" s="2" t="s">
        <v>112</v>
      </c>
      <c r="E163" s="3">
        <v>531.60587907467334</v>
      </c>
    </row>
    <row r="164" spans="1:5" x14ac:dyDescent="0.25">
      <c r="A164" s="8" t="s">
        <v>6</v>
      </c>
      <c r="B164" s="3">
        <v>441.72173294774802</v>
      </c>
      <c r="C164" s="2" t="s">
        <v>43</v>
      </c>
      <c r="D164" s="2" t="s">
        <v>112</v>
      </c>
      <c r="E164" s="3">
        <v>609.06801203527698</v>
      </c>
    </row>
    <row r="165" spans="1:5" x14ac:dyDescent="0.25">
      <c r="A165" s="8" t="s">
        <v>7</v>
      </c>
      <c r="B165" s="3">
        <v>501.69293998241022</v>
      </c>
      <c r="C165" s="2" t="s">
        <v>43</v>
      </c>
      <c r="D165" s="2" t="s">
        <v>112</v>
      </c>
      <c r="E165" s="3">
        <v>621.79882592014587</v>
      </c>
    </row>
    <row r="166" spans="1:5" x14ac:dyDescent="0.25">
      <c r="A166" s="8" t="s">
        <v>8</v>
      </c>
      <c r="B166" s="3">
        <v>278.36266394507493</v>
      </c>
      <c r="C166" s="2" t="s">
        <v>43</v>
      </c>
      <c r="D166" s="2" t="s">
        <v>112</v>
      </c>
      <c r="E166" s="3">
        <v>562.89248100741054</v>
      </c>
    </row>
    <row r="167" spans="1:5" x14ac:dyDescent="0.25">
      <c r="A167" s="8" t="s">
        <v>9</v>
      </c>
      <c r="B167" s="3">
        <v>496.60496512548718</v>
      </c>
      <c r="C167" s="2" t="s">
        <v>43</v>
      </c>
      <c r="D167" s="2" t="s">
        <v>112</v>
      </c>
      <c r="E167" s="3">
        <v>620.77948712630837</v>
      </c>
    </row>
    <row r="168" spans="1:5" x14ac:dyDescent="0.25">
      <c r="A168" s="8" t="s">
        <v>10</v>
      </c>
      <c r="B168" s="3">
        <v>266.6455185522633</v>
      </c>
      <c r="C168" s="2" t="s">
        <v>43</v>
      </c>
      <c r="D168" s="2" t="s">
        <v>112</v>
      </c>
      <c r="E168" s="3">
        <v>558.59201304259636</v>
      </c>
    </row>
    <row r="169" spans="1:5" x14ac:dyDescent="0.25">
      <c r="A169" s="8" t="s">
        <v>11</v>
      </c>
      <c r="B169" s="3">
        <v>371.5090297165321</v>
      </c>
      <c r="C169" s="2" t="s">
        <v>43</v>
      </c>
      <c r="D169" s="2" t="s">
        <v>112</v>
      </c>
      <c r="E169" s="3">
        <v>591.75731699634537</v>
      </c>
    </row>
    <row r="170" spans="1:5" x14ac:dyDescent="0.25">
      <c r="A170" s="8" t="s">
        <v>12</v>
      </c>
      <c r="B170" s="3">
        <v>433.98923901013148</v>
      </c>
      <c r="C170" s="2" t="s">
        <v>43</v>
      </c>
      <c r="D170" s="2" t="s">
        <v>112</v>
      </c>
      <c r="E170" s="3">
        <v>607.30197388854754</v>
      </c>
    </row>
    <row r="171" spans="1:5" x14ac:dyDescent="0.25">
      <c r="A171" s="8" t="s">
        <v>13</v>
      </c>
      <c r="B171" s="3">
        <v>400.26245338662358</v>
      </c>
      <c r="C171" s="2" t="s">
        <v>43</v>
      </c>
      <c r="D171" s="2" t="s">
        <v>112</v>
      </c>
      <c r="E171" s="3">
        <v>599.21204654130895</v>
      </c>
    </row>
    <row r="172" spans="1:5" x14ac:dyDescent="0.25">
      <c r="A172" s="8" t="s">
        <v>14</v>
      </c>
      <c r="B172" s="3">
        <v>494.2564063537468</v>
      </c>
      <c r="C172" s="2" t="s">
        <v>43</v>
      </c>
      <c r="D172" s="2" t="s">
        <v>112</v>
      </c>
      <c r="E172" s="3">
        <v>620.30544237345464</v>
      </c>
    </row>
    <row r="173" spans="1:5" x14ac:dyDescent="0.25">
      <c r="A173" s="8" t="s">
        <v>15</v>
      </c>
      <c r="B173" s="3">
        <v>258.64513959238707</v>
      </c>
      <c r="C173" s="2" t="s">
        <v>43</v>
      </c>
      <c r="D173" s="2" t="s">
        <v>112</v>
      </c>
      <c r="E173" s="3">
        <v>555.54570048265566</v>
      </c>
    </row>
    <row r="174" spans="1:5" x14ac:dyDescent="0.25">
      <c r="A174" s="8" t="s">
        <v>16</v>
      </c>
      <c r="B174" s="3">
        <v>377.29569364470655</v>
      </c>
      <c r="C174" s="2" t="s">
        <v>43</v>
      </c>
      <c r="D174" s="2" t="s">
        <v>112</v>
      </c>
      <c r="E174" s="3">
        <v>593.30292132944919</v>
      </c>
    </row>
    <row r="175" spans="1:5" x14ac:dyDescent="0.25">
      <c r="A175" s="8" t="s">
        <v>17</v>
      </c>
      <c r="B175" s="3">
        <v>468.79961802464317</v>
      </c>
      <c r="C175" s="2" t="s">
        <v>43</v>
      </c>
      <c r="D175" s="2" t="s">
        <v>112</v>
      </c>
      <c r="E175" s="3">
        <v>615.01754234686211</v>
      </c>
    </row>
    <row r="176" spans="1:5" x14ac:dyDescent="0.25">
      <c r="A176" s="8" t="s">
        <v>18</v>
      </c>
      <c r="B176" s="3">
        <v>265.5910714195993</v>
      </c>
      <c r="C176" s="2" t="s">
        <v>43</v>
      </c>
      <c r="D176" s="2" t="s">
        <v>112</v>
      </c>
      <c r="E176" s="3">
        <v>558.19578003941524</v>
      </c>
    </row>
    <row r="177" spans="1:5" x14ac:dyDescent="0.25">
      <c r="A177" s="8" t="s">
        <v>19</v>
      </c>
      <c r="B177" s="3">
        <v>637.88338985405517</v>
      </c>
      <c r="C177" s="2" t="s">
        <v>43</v>
      </c>
      <c r="D177" s="2" t="s">
        <v>112</v>
      </c>
      <c r="E177" s="3">
        <v>645.81554921160671</v>
      </c>
    </row>
    <row r="178" spans="1:5" x14ac:dyDescent="0.25">
      <c r="A178" s="8" t="s">
        <v>20</v>
      </c>
      <c r="B178" s="3">
        <v>273.72334324716047</v>
      </c>
      <c r="C178" s="2" t="s">
        <v>43</v>
      </c>
      <c r="D178" s="2" t="s">
        <v>112</v>
      </c>
      <c r="E178" s="3">
        <v>561.21179001232542</v>
      </c>
    </row>
    <row r="179" spans="1:5" x14ac:dyDescent="0.25">
      <c r="A179" s="8" t="s">
        <v>22</v>
      </c>
      <c r="B179" s="3">
        <v>397.08271338552964</v>
      </c>
      <c r="C179" s="2" t="s">
        <v>43</v>
      </c>
      <c r="D179" s="2" t="s">
        <v>112</v>
      </c>
      <c r="E179" s="3">
        <v>598.41446050454329</v>
      </c>
    </row>
    <row r="180" spans="1:5" x14ac:dyDescent="0.25">
      <c r="A180" s="8" t="s">
        <v>21</v>
      </c>
      <c r="B180" s="3">
        <v>304.51907885405302</v>
      </c>
      <c r="C180" s="2" t="s">
        <v>43</v>
      </c>
      <c r="D180" s="2" t="s">
        <v>112</v>
      </c>
      <c r="E180" s="3">
        <v>571.87337415222748</v>
      </c>
    </row>
    <row r="181" spans="1:5" x14ac:dyDescent="0.25">
      <c r="A181" s="8" t="s">
        <v>23</v>
      </c>
      <c r="B181" s="3">
        <v>503.24878872418935</v>
      </c>
      <c r="C181" s="2" t="s">
        <v>43</v>
      </c>
      <c r="D181" s="2" t="s">
        <v>112</v>
      </c>
      <c r="E181" s="3">
        <v>622.10846576102767</v>
      </c>
    </row>
    <row r="182" spans="1:5" x14ac:dyDescent="0.25">
      <c r="A182" s="8" t="s">
        <v>4</v>
      </c>
      <c r="B182" s="3">
        <v>638.96908271547159</v>
      </c>
      <c r="C182" s="2" t="s">
        <v>44</v>
      </c>
      <c r="D182" s="2" t="s">
        <v>111</v>
      </c>
      <c r="E182" s="3">
        <v>645.98560693501463</v>
      </c>
    </row>
    <row r="183" spans="1:5" x14ac:dyDescent="0.25">
      <c r="A183" s="8" t="s">
        <v>5</v>
      </c>
      <c r="B183" s="3">
        <v>210.972923078549</v>
      </c>
      <c r="C183" s="2" t="s">
        <v>44</v>
      </c>
      <c r="D183" s="2" t="s">
        <v>111</v>
      </c>
      <c r="E183" s="3">
        <v>535.17297985995503</v>
      </c>
    </row>
    <row r="184" spans="1:5" x14ac:dyDescent="0.25">
      <c r="A184" s="8" t="s">
        <v>6</v>
      </c>
      <c r="B184" s="3">
        <v>413.523033197389</v>
      </c>
      <c r="C184" s="2" t="s">
        <v>44</v>
      </c>
      <c r="D184" s="2" t="s">
        <v>111</v>
      </c>
      <c r="E184" s="3">
        <v>602.47132159290504</v>
      </c>
    </row>
    <row r="185" spans="1:5" x14ac:dyDescent="0.25">
      <c r="A185" s="8" t="s">
        <v>7</v>
      </c>
      <c r="B185" s="3">
        <v>564.04350368766961</v>
      </c>
      <c r="C185" s="2" t="s">
        <v>44</v>
      </c>
      <c r="D185" s="2" t="s">
        <v>111</v>
      </c>
      <c r="E185" s="3">
        <v>633.51313827213653</v>
      </c>
    </row>
    <row r="186" spans="1:5" x14ac:dyDescent="0.25">
      <c r="A186" s="8" t="s">
        <v>8</v>
      </c>
      <c r="B186" s="3">
        <v>285.12885237823406</v>
      </c>
      <c r="C186" s="2" t="s">
        <v>44</v>
      </c>
      <c r="D186" s="2" t="s">
        <v>111</v>
      </c>
      <c r="E186" s="3">
        <v>565.29411917039272</v>
      </c>
    </row>
    <row r="187" spans="1:5" x14ac:dyDescent="0.25">
      <c r="A187" s="8" t="s">
        <v>9</v>
      </c>
      <c r="B187" s="3">
        <v>583.43844005392668</v>
      </c>
      <c r="C187" s="2" t="s">
        <v>44</v>
      </c>
      <c r="D187" s="2" t="s">
        <v>111</v>
      </c>
      <c r="E187" s="3">
        <v>636.89389449680402</v>
      </c>
    </row>
    <row r="188" spans="1:5" x14ac:dyDescent="0.25">
      <c r="A188" s="8" t="s">
        <v>10</v>
      </c>
      <c r="B188" s="3">
        <v>327.48241727308601</v>
      </c>
      <c r="C188" s="2" t="s">
        <v>44</v>
      </c>
      <c r="D188" s="2" t="s">
        <v>111</v>
      </c>
      <c r="E188" s="3">
        <v>579.14343659183021</v>
      </c>
    </row>
    <row r="189" spans="1:5" x14ac:dyDescent="0.25">
      <c r="A189" s="8" t="s">
        <v>11</v>
      </c>
      <c r="B189" s="3">
        <v>371.0402699947989</v>
      </c>
      <c r="C189" s="2" t="s">
        <v>44</v>
      </c>
      <c r="D189" s="2" t="s">
        <v>111</v>
      </c>
      <c r="E189" s="3">
        <v>591.63106011772857</v>
      </c>
    </row>
    <row r="190" spans="1:5" x14ac:dyDescent="0.25">
      <c r="A190" s="8" t="s">
        <v>12</v>
      </c>
      <c r="B190" s="3">
        <v>396.4816884200128</v>
      </c>
      <c r="C190" s="2" t="s">
        <v>44</v>
      </c>
      <c r="D190" s="2" t="s">
        <v>111</v>
      </c>
      <c r="E190" s="3">
        <v>598.26298569567621</v>
      </c>
    </row>
    <row r="191" spans="1:5" x14ac:dyDescent="0.25">
      <c r="A191" s="8" t="s">
        <v>13</v>
      </c>
      <c r="B191" s="3">
        <v>437.11166350980409</v>
      </c>
      <c r="C191" s="2" t="s">
        <v>44</v>
      </c>
      <c r="D191" s="2" t="s">
        <v>111</v>
      </c>
      <c r="E191" s="3">
        <v>608.01886853609028</v>
      </c>
    </row>
    <row r="192" spans="1:5" x14ac:dyDescent="0.25">
      <c r="A192" s="8" t="s">
        <v>14</v>
      </c>
      <c r="B192" s="3">
        <v>509.59646862828987</v>
      </c>
      <c r="C192" s="2" t="s">
        <v>44</v>
      </c>
      <c r="D192" s="2" t="s">
        <v>111</v>
      </c>
      <c r="E192" s="3">
        <v>623.36191745406347</v>
      </c>
    </row>
    <row r="193" spans="1:5" x14ac:dyDescent="0.25">
      <c r="A193" s="8" t="s">
        <v>15</v>
      </c>
      <c r="B193" s="3">
        <v>267.55437452930613</v>
      </c>
      <c r="C193" s="2" t="s">
        <v>44</v>
      </c>
      <c r="D193" s="2" t="s">
        <v>111</v>
      </c>
      <c r="E193" s="3">
        <v>558.93228149480967</v>
      </c>
    </row>
    <row r="194" spans="1:5" x14ac:dyDescent="0.25">
      <c r="A194" s="8" t="s">
        <v>16</v>
      </c>
      <c r="B194" s="3">
        <v>354.80170983029643</v>
      </c>
      <c r="C194" s="2" t="s">
        <v>44</v>
      </c>
      <c r="D194" s="2" t="s">
        <v>111</v>
      </c>
      <c r="E194" s="3">
        <v>587.15590695621904</v>
      </c>
    </row>
    <row r="195" spans="1:5" x14ac:dyDescent="0.25">
      <c r="A195" s="8" t="s">
        <v>17</v>
      </c>
      <c r="B195" s="3">
        <v>486.67096375452019</v>
      </c>
      <c r="C195" s="2" t="s">
        <v>44</v>
      </c>
      <c r="D195" s="2" t="s">
        <v>111</v>
      </c>
      <c r="E195" s="3">
        <v>618.75882556278668</v>
      </c>
    </row>
    <row r="196" spans="1:5" x14ac:dyDescent="0.25">
      <c r="A196" s="8" t="s">
        <v>18</v>
      </c>
      <c r="B196" s="3">
        <v>327.69725549049588</v>
      </c>
      <c r="C196" s="2" t="s">
        <v>44</v>
      </c>
      <c r="D196" s="2" t="s">
        <v>111</v>
      </c>
      <c r="E196" s="3">
        <v>579.20901806025506</v>
      </c>
    </row>
    <row r="197" spans="1:5" x14ac:dyDescent="0.25">
      <c r="A197" s="8" t="s">
        <v>19</v>
      </c>
      <c r="B197" s="3">
        <v>564.05840284628493</v>
      </c>
      <c r="C197" s="2" t="s">
        <v>44</v>
      </c>
      <c r="D197" s="2" t="s">
        <v>111</v>
      </c>
      <c r="E197" s="3">
        <v>633.51577972829045</v>
      </c>
    </row>
    <row r="198" spans="1:5" x14ac:dyDescent="0.25">
      <c r="A198" s="8" t="s">
        <v>20</v>
      </c>
      <c r="B198" s="3">
        <v>238.03641650468705</v>
      </c>
      <c r="C198" s="2" t="s">
        <v>44</v>
      </c>
      <c r="D198" s="2" t="s">
        <v>111</v>
      </c>
      <c r="E198" s="3">
        <v>547.2423672490454</v>
      </c>
    </row>
    <row r="199" spans="1:5" x14ac:dyDescent="0.25">
      <c r="A199" s="8" t="s">
        <v>22</v>
      </c>
      <c r="B199" s="3">
        <v>412.09404397311363</v>
      </c>
      <c r="C199" s="2" t="s">
        <v>44</v>
      </c>
      <c r="D199" s="2" t="s">
        <v>111</v>
      </c>
      <c r="E199" s="3">
        <v>602.12515853723676</v>
      </c>
    </row>
    <row r="200" spans="1:5" x14ac:dyDescent="0.25">
      <c r="A200" s="8" t="s">
        <v>21</v>
      </c>
      <c r="B200" s="3">
        <v>251.70877786702152</v>
      </c>
      <c r="C200" s="2" t="s">
        <v>44</v>
      </c>
      <c r="D200" s="2" t="s">
        <v>111</v>
      </c>
      <c r="E200" s="3">
        <v>552.82727758558667</v>
      </c>
    </row>
    <row r="201" spans="1:5" x14ac:dyDescent="0.25">
      <c r="A201" s="8" t="s">
        <v>23</v>
      </c>
      <c r="B201" s="3">
        <v>458.46080851823007</v>
      </c>
      <c r="C201" s="2" t="s">
        <v>44</v>
      </c>
      <c r="D201" s="2" t="s">
        <v>111</v>
      </c>
      <c r="E201" s="3">
        <v>612.78748104383681</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138"/>
  <sheetViews>
    <sheetView zoomScale="70" zoomScaleNormal="70" workbookViewId="0"/>
  </sheetViews>
  <sheetFormatPr defaultRowHeight="13.2" x14ac:dyDescent="0.25"/>
  <cols>
    <col min="1" max="1" width="2.5546875" style="13" customWidth="1"/>
    <col min="2" max="2" width="19.6640625" style="13" customWidth="1"/>
    <col min="3" max="4" width="7.6640625" style="13" customWidth="1"/>
    <col min="5" max="6" width="7.6640625" style="14" customWidth="1"/>
    <col min="7" max="14" width="8" style="14" customWidth="1"/>
    <col min="15" max="17" width="6.6640625" style="14" customWidth="1"/>
    <col min="18" max="18" width="7.33203125" style="14" customWidth="1"/>
    <col min="19" max="19" width="5.6640625" style="14" customWidth="1"/>
    <col min="20" max="20" width="9.109375" style="14" customWidth="1"/>
    <col min="21" max="21" width="6.6640625" style="14" customWidth="1"/>
    <col min="22" max="24" width="7.5546875" style="14" customWidth="1"/>
    <col min="25" max="25" width="6.6640625" style="14" customWidth="1"/>
    <col min="26" max="35" width="8.88671875" style="13"/>
    <col min="36" max="36" width="6.109375" style="13" customWidth="1"/>
    <col min="37" max="256" width="8.88671875" style="13"/>
    <col min="257" max="257" width="2.5546875" style="13" customWidth="1"/>
    <col min="258" max="258" width="19.6640625" style="13" customWidth="1"/>
    <col min="259" max="262" width="7.6640625" style="13" customWidth="1"/>
    <col min="263" max="270" width="8" style="13" customWidth="1"/>
    <col min="271" max="273" width="6.6640625" style="13" customWidth="1"/>
    <col min="274" max="274" width="7.33203125" style="13" customWidth="1"/>
    <col min="275" max="275" width="5.6640625" style="13" customWidth="1"/>
    <col min="276" max="276" width="9.109375" style="13" customWidth="1"/>
    <col min="277" max="277" width="6.6640625" style="13" customWidth="1"/>
    <col min="278" max="280" width="7.5546875" style="13" customWidth="1"/>
    <col min="281" max="281" width="6.6640625" style="13" customWidth="1"/>
    <col min="282" max="291" width="8.88671875" style="13"/>
    <col min="292" max="292" width="6.109375" style="13" customWidth="1"/>
    <col min="293" max="512" width="8.88671875" style="13"/>
    <col min="513" max="513" width="2.5546875" style="13" customWidth="1"/>
    <col min="514" max="514" width="19.6640625" style="13" customWidth="1"/>
    <col min="515" max="518" width="7.6640625" style="13" customWidth="1"/>
    <col min="519" max="526" width="8" style="13" customWidth="1"/>
    <col min="527" max="529" width="6.6640625" style="13" customWidth="1"/>
    <col min="530" max="530" width="7.33203125" style="13" customWidth="1"/>
    <col min="531" max="531" width="5.6640625" style="13" customWidth="1"/>
    <col min="532" max="532" width="9.109375" style="13" customWidth="1"/>
    <col min="533" max="533" width="6.6640625" style="13" customWidth="1"/>
    <col min="534" max="536" width="7.5546875" style="13" customWidth="1"/>
    <col min="537" max="537" width="6.6640625" style="13" customWidth="1"/>
    <col min="538" max="547" width="8.88671875" style="13"/>
    <col min="548" max="548" width="6.109375" style="13" customWidth="1"/>
    <col min="549" max="768" width="8.88671875" style="13"/>
    <col min="769" max="769" width="2.5546875" style="13" customWidth="1"/>
    <col min="770" max="770" width="19.6640625" style="13" customWidth="1"/>
    <col min="771" max="774" width="7.6640625" style="13" customWidth="1"/>
    <col min="775" max="782" width="8" style="13" customWidth="1"/>
    <col min="783" max="785" width="6.6640625" style="13" customWidth="1"/>
    <col min="786" max="786" width="7.33203125" style="13" customWidth="1"/>
    <col min="787" max="787" width="5.6640625" style="13" customWidth="1"/>
    <col min="788" max="788" width="9.109375" style="13" customWidth="1"/>
    <col min="789" max="789" width="6.6640625" style="13" customWidth="1"/>
    <col min="790" max="792" width="7.5546875" style="13" customWidth="1"/>
    <col min="793" max="793" width="6.6640625" style="13" customWidth="1"/>
    <col min="794" max="803" width="8.88671875" style="13"/>
    <col min="804" max="804" width="6.109375" style="13" customWidth="1"/>
    <col min="805" max="1024" width="8.88671875" style="13"/>
    <col min="1025" max="1025" width="2.5546875" style="13" customWidth="1"/>
    <col min="1026" max="1026" width="19.6640625" style="13" customWidth="1"/>
    <col min="1027" max="1030" width="7.6640625" style="13" customWidth="1"/>
    <col min="1031" max="1038" width="8" style="13" customWidth="1"/>
    <col min="1039" max="1041" width="6.6640625" style="13" customWidth="1"/>
    <col min="1042" max="1042" width="7.33203125" style="13" customWidth="1"/>
    <col min="1043" max="1043" width="5.6640625" style="13" customWidth="1"/>
    <col min="1044" max="1044" width="9.109375" style="13" customWidth="1"/>
    <col min="1045" max="1045" width="6.6640625" style="13" customWidth="1"/>
    <col min="1046" max="1048" width="7.5546875" style="13" customWidth="1"/>
    <col min="1049" max="1049" width="6.6640625" style="13" customWidth="1"/>
    <col min="1050" max="1059" width="8.88671875" style="13"/>
    <col min="1060" max="1060" width="6.109375" style="13" customWidth="1"/>
    <col min="1061" max="1280" width="8.88671875" style="13"/>
    <col min="1281" max="1281" width="2.5546875" style="13" customWidth="1"/>
    <col min="1282" max="1282" width="19.6640625" style="13" customWidth="1"/>
    <col min="1283" max="1286" width="7.6640625" style="13" customWidth="1"/>
    <col min="1287" max="1294" width="8" style="13" customWidth="1"/>
    <col min="1295" max="1297" width="6.6640625" style="13" customWidth="1"/>
    <col min="1298" max="1298" width="7.33203125" style="13" customWidth="1"/>
    <col min="1299" max="1299" width="5.6640625" style="13" customWidth="1"/>
    <col min="1300" max="1300" width="9.109375" style="13" customWidth="1"/>
    <col min="1301" max="1301" width="6.6640625" style="13" customWidth="1"/>
    <col min="1302" max="1304" width="7.5546875" style="13" customWidth="1"/>
    <col min="1305" max="1305" width="6.6640625" style="13" customWidth="1"/>
    <col min="1306" max="1315" width="8.88671875" style="13"/>
    <col min="1316" max="1316" width="6.109375" style="13" customWidth="1"/>
    <col min="1317" max="1536" width="8.88671875" style="13"/>
    <col min="1537" max="1537" width="2.5546875" style="13" customWidth="1"/>
    <col min="1538" max="1538" width="19.6640625" style="13" customWidth="1"/>
    <col min="1539" max="1542" width="7.6640625" style="13" customWidth="1"/>
    <col min="1543" max="1550" width="8" style="13" customWidth="1"/>
    <col min="1551" max="1553" width="6.6640625" style="13" customWidth="1"/>
    <col min="1554" max="1554" width="7.33203125" style="13" customWidth="1"/>
    <col min="1555" max="1555" width="5.6640625" style="13" customWidth="1"/>
    <col min="1556" max="1556" width="9.109375" style="13" customWidth="1"/>
    <col min="1557" max="1557" width="6.6640625" style="13" customWidth="1"/>
    <col min="1558" max="1560" width="7.5546875" style="13" customWidth="1"/>
    <col min="1561" max="1561" width="6.6640625" style="13" customWidth="1"/>
    <col min="1562" max="1571" width="8.88671875" style="13"/>
    <col min="1572" max="1572" width="6.109375" style="13" customWidth="1"/>
    <col min="1573" max="1792" width="8.88671875" style="13"/>
    <col min="1793" max="1793" width="2.5546875" style="13" customWidth="1"/>
    <col min="1794" max="1794" width="19.6640625" style="13" customWidth="1"/>
    <col min="1795" max="1798" width="7.6640625" style="13" customWidth="1"/>
    <col min="1799" max="1806" width="8" style="13" customWidth="1"/>
    <col min="1807" max="1809" width="6.6640625" style="13" customWidth="1"/>
    <col min="1810" max="1810" width="7.33203125" style="13" customWidth="1"/>
    <col min="1811" max="1811" width="5.6640625" style="13" customWidth="1"/>
    <col min="1812" max="1812" width="9.109375" style="13" customWidth="1"/>
    <col min="1813" max="1813" width="6.6640625" style="13" customWidth="1"/>
    <col min="1814" max="1816" width="7.5546875" style="13" customWidth="1"/>
    <col min="1817" max="1817" width="6.6640625" style="13" customWidth="1"/>
    <col min="1818" max="1827" width="8.88671875" style="13"/>
    <col min="1828" max="1828" width="6.109375" style="13" customWidth="1"/>
    <col min="1829" max="2048" width="8.88671875" style="13"/>
    <col min="2049" max="2049" width="2.5546875" style="13" customWidth="1"/>
    <col min="2050" max="2050" width="19.6640625" style="13" customWidth="1"/>
    <col min="2051" max="2054" width="7.6640625" style="13" customWidth="1"/>
    <col min="2055" max="2062" width="8" style="13" customWidth="1"/>
    <col min="2063" max="2065" width="6.6640625" style="13" customWidth="1"/>
    <col min="2066" max="2066" width="7.33203125" style="13" customWidth="1"/>
    <col min="2067" max="2067" width="5.6640625" style="13" customWidth="1"/>
    <col min="2068" max="2068" width="9.109375" style="13" customWidth="1"/>
    <col min="2069" max="2069" width="6.6640625" style="13" customWidth="1"/>
    <col min="2070" max="2072" width="7.5546875" style="13" customWidth="1"/>
    <col min="2073" max="2073" width="6.6640625" style="13" customWidth="1"/>
    <col min="2074" max="2083" width="8.88671875" style="13"/>
    <col min="2084" max="2084" width="6.109375" style="13" customWidth="1"/>
    <col min="2085" max="2304" width="8.88671875" style="13"/>
    <col min="2305" max="2305" width="2.5546875" style="13" customWidth="1"/>
    <col min="2306" max="2306" width="19.6640625" style="13" customWidth="1"/>
    <col min="2307" max="2310" width="7.6640625" style="13" customWidth="1"/>
    <col min="2311" max="2318" width="8" style="13" customWidth="1"/>
    <col min="2319" max="2321" width="6.6640625" style="13" customWidth="1"/>
    <col min="2322" max="2322" width="7.33203125" style="13" customWidth="1"/>
    <col min="2323" max="2323" width="5.6640625" style="13" customWidth="1"/>
    <col min="2324" max="2324" width="9.109375" style="13" customWidth="1"/>
    <col min="2325" max="2325" width="6.6640625" style="13" customWidth="1"/>
    <col min="2326" max="2328" width="7.5546875" style="13" customWidth="1"/>
    <col min="2329" max="2329" width="6.6640625" style="13" customWidth="1"/>
    <col min="2330" max="2339" width="8.88671875" style="13"/>
    <col min="2340" max="2340" width="6.109375" style="13" customWidth="1"/>
    <col min="2341" max="2560" width="8.88671875" style="13"/>
    <col min="2561" max="2561" width="2.5546875" style="13" customWidth="1"/>
    <col min="2562" max="2562" width="19.6640625" style="13" customWidth="1"/>
    <col min="2563" max="2566" width="7.6640625" style="13" customWidth="1"/>
    <col min="2567" max="2574" width="8" style="13" customWidth="1"/>
    <col min="2575" max="2577" width="6.6640625" style="13" customWidth="1"/>
    <col min="2578" max="2578" width="7.33203125" style="13" customWidth="1"/>
    <col min="2579" max="2579" width="5.6640625" style="13" customWidth="1"/>
    <col min="2580" max="2580" width="9.109375" style="13" customWidth="1"/>
    <col min="2581" max="2581" width="6.6640625" style="13" customWidth="1"/>
    <col min="2582" max="2584" width="7.5546875" style="13" customWidth="1"/>
    <col min="2585" max="2585" width="6.6640625" style="13" customWidth="1"/>
    <col min="2586" max="2595" width="8.88671875" style="13"/>
    <col min="2596" max="2596" width="6.109375" style="13" customWidth="1"/>
    <col min="2597" max="2816" width="8.88671875" style="13"/>
    <col min="2817" max="2817" width="2.5546875" style="13" customWidth="1"/>
    <col min="2818" max="2818" width="19.6640625" style="13" customWidth="1"/>
    <col min="2819" max="2822" width="7.6640625" style="13" customWidth="1"/>
    <col min="2823" max="2830" width="8" style="13" customWidth="1"/>
    <col min="2831" max="2833" width="6.6640625" style="13" customWidth="1"/>
    <col min="2834" max="2834" width="7.33203125" style="13" customWidth="1"/>
    <col min="2835" max="2835" width="5.6640625" style="13" customWidth="1"/>
    <col min="2836" max="2836" width="9.109375" style="13" customWidth="1"/>
    <col min="2837" max="2837" width="6.6640625" style="13" customWidth="1"/>
    <col min="2838" max="2840" width="7.5546875" style="13" customWidth="1"/>
    <col min="2841" max="2841" width="6.6640625" style="13" customWidth="1"/>
    <col min="2842" max="2851" width="8.88671875" style="13"/>
    <col min="2852" max="2852" width="6.109375" style="13" customWidth="1"/>
    <col min="2853" max="3072" width="8.88671875" style="13"/>
    <col min="3073" max="3073" width="2.5546875" style="13" customWidth="1"/>
    <col min="3074" max="3074" width="19.6640625" style="13" customWidth="1"/>
    <col min="3075" max="3078" width="7.6640625" style="13" customWidth="1"/>
    <col min="3079" max="3086" width="8" style="13" customWidth="1"/>
    <col min="3087" max="3089" width="6.6640625" style="13" customWidth="1"/>
    <col min="3090" max="3090" width="7.33203125" style="13" customWidth="1"/>
    <col min="3091" max="3091" width="5.6640625" style="13" customWidth="1"/>
    <col min="3092" max="3092" width="9.109375" style="13" customWidth="1"/>
    <col min="3093" max="3093" width="6.6640625" style="13" customWidth="1"/>
    <col min="3094" max="3096" width="7.5546875" style="13" customWidth="1"/>
    <col min="3097" max="3097" width="6.6640625" style="13" customWidth="1"/>
    <col min="3098" max="3107" width="8.88671875" style="13"/>
    <col min="3108" max="3108" width="6.109375" style="13" customWidth="1"/>
    <col min="3109" max="3328" width="8.88671875" style="13"/>
    <col min="3329" max="3329" width="2.5546875" style="13" customWidth="1"/>
    <col min="3330" max="3330" width="19.6640625" style="13" customWidth="1"/>
    <col min="3331" max="3334" width="7.6640625" style="13" customWidth="1"/>
    <col min="3335" max="3342" width="8" style="13" customWidth="1"/>
    <col min="3343" max="3345" width="6.6640625" style="13" customWidth="1"/>
    <col min="3346" max="3346" width="7.33203125" style="13" customWidth="1"/>
    <col min="3347" max="3347" width="5.6640625" style="13" customWidth="1"/>
    <col min="3348" max="3348" width="9.109375" style="13" customWidth="1"/>
    <col min="3349" max="3349" width="6.6640625" style="13" customWidth="1"/>
    <col min="3350" max="3352" width="7.5546875" style="13" customWidth="1"/>
    <col min="3353" max="3353" width="6.6640625" style="13" customWidth="1"/>
    <col min="3354" max="3363" width="8.88671875" style="13"/>
    <col min="3364" max="3364" width="6.109375" style="13" customWidth="1"/>
    <col min="3365" max="3584" width="8.88671875" style="13"/>
    <col min="3585" max="3585" width="2.5546875" style="13" customWidth="1"/>
    <col min="3586" max="3586" width="19.6640625" style="13" customWidth="1"/>
    <col min="3587" max="3590" width="7.6640625" style="13" customWidth="1"/>
    <col min="3591" max="3598" width="8" style="13" customWidth="1"/>
    <col min="3599" max="3601" width="6.6640625" style="13" customWidth="1"/>
    <col min="3602" max="3602" width="7.33203125" style="13" customWidth="1"/>
    <col min="3603" max="3603" width="5.6640625" style="13" customWidth="1"/>
    <col min="3604" max="3604" width="9.109375" style="13" customWidth="1"/>
    <col min="3605" max="3605" width="6.6640625" style="13" customWidth="1"/>
    <col min="3606" max="3608" width="7.5546875" style="13" customWidth="1"/>
    <col min="3609" max="3609" width="6.6640625" style="13" customWidth="1"/>
    <col min="3610" max="3619" width="8.88671875" style="13"/>
    <col min="3620" max="3620" width="6.109375" style="13" customWidth="1"/>
    <col min="3621" max="3840" width="8.88671875" style="13"/>
    <col min="3841" max="3841" width="2.5546875" style="13" customWidth="1"/>
    <col min="3842" max="3842" width="19.6640625" style="13" customWidth="1"/>
    <col min="3843" max="3846" width="7.6640625" style="13" customWidth="1"/>
    <col min="3847" max="3854" width="8" style="13" customWidth="1"/>
    <col min="3855" max="3857" width="6.6640625" style="13" customWidth="1"/>
    <col min="3858" max="3858" width="7.33203125" style="13" customWidth="1"/>
    <col min="3859" max="3859" width="5.6640625" style="13" customWidth="1"/>
    <col min="3860" max="3860" width="9.109375" style="13" customWidth="1"/>
    <col min="3861" max="3861" width="6.6640625" style="13" customWidth="1"/>
    <col min="3862" max="3864" width="7.5546875" style="13" customWidth="1"/>
    <col min="3865" max="3865" width="6.6640625" style="13" customWidth="1"/>
    <col min="3866" max="3875" width="8.88671875" style="13"/>
    <col min="3876" max="3876" width="6.109375" style="13" customWidth="1"/>
    <col min="3877" max="4096" width="8.88671875" style="13"/>
    <col min="4097" max="4097" width="2.5546875" style="13" customWidth="1"/>
    <col min="4098" max="4098" width="19.6640625" style="13" customWidth="1"/>
    <col min="4099" max="4102" width="7.6640625" style="13" customWidth="1"/>
    <col min="4103" max="4110" width="8" style="13" customWidth="1"/>
    <col min="4111" max="4113" width="6.6640625" style="13" customWidth="1"/>
    <col min="4114" max="4114" width="7.33203125" style="13" customWidth="1"/>
    <col min="4115" max="4115" width="5.6640625" style="13" customWidth="1"/>
    <col min="4116" max="4116" width="9.109375" style="13" customWidth="1"/>
    <col min="4117" max="4117" width="6.6640625" style="13" customWidth="1"/>
    <col min="4118" max="4120" width="7.5546875" style="13" customWidth="1"/>
    <col min="4121" max="4121" width="6.6640625" style="13" customWidth="1"/>
    <col min="4122" max="4131" width="8.88671875" style="13"/>
    <col min="4132" max="4132" width="6.109375" style="13" customWidth="1"/>
    <col min="4133" max="4352" width="8.88671875" style="13"/>
    <col min="4353" max="4353" width="2.5546875" style="13" customWidth="1"/>
    <col min="4354" max="4354" width="19.6640625" style="13" customWidth="1"/>
    <col min="4355" max="4358" width="7.6640625" style="13" customWidth="1"/>
    <col min="4359" max="4366" width="8" style="13" customWidth="1"/>
    <col min="4367" max="4369" width="6.6640625" style="13" customWidth="1"/>
    <col min="4370" max="4370" width="7.33203125" style="13" customWidth="1"/>
    <col min="4371" max="4371" width="5.6640625" style="13" customWidth="1"/>
    <col min="4372" max="4372" width="9.109375" style="13" customWidth="1"/>
    <col min="4373" max="4373" width="6.6640625" style="13" customWidth="1"/>
    <col min="4374" max="4376" width="7.5546875" style="13" customWidth="1"/>
    <col min="4377" max="4377" width="6.6640625" style="13" customWidth="1"/>
    <col min="4378" max="4387" width="8.88671875" style="13"/>
    <col min="4388" max="4388" width="6.109375" style="13" customWidth="1"/>
    <col min="4389" max="4608" width="8.88671875" style="13"/>
    <col min="4609" max="4609" width="2.5546875" style="13" customWidth="1"/>
    <col min="4610" max="4610" width="19.6640625" style="13" customWidth="1"/>
    <col min="4611" max="4614" width="7.6640625" style="13" customWidth="1"/>
    <col min="4615" max="4622" width="8" style="13" customWidth="1"/>
    <col min="4623" max="4625" width="6.6640625" style="13" customWidth="1"/>
    <col min="4626" max="4626" width="7.33203125" style="13" customWidth="1"/>
    <col min="4627" max="4627" width="5.6640625" style="13" customWidth="1"/>
    <col min="4628" max="4628" width="9.109375" style="13" customWidth="1"/>
    <col min="4629" max="4629" width="6.6640625" style="13" customWidth="1"/>
    <col min="4630" max="4632" width="7.5546875" style="13" customWidth="1"/>
    <col min="4633" max="4633" width="6.6640625" style="13" customWidth="1"/>
    <col min="4634" max="4643" width="8.88671875" style="13"/>
    <col min="4644" max="4644" width="6.109375" style="13" customWidth="1"/>
    <col min="4645" max="4864" width="8.88671875" style="13"/>
    <col min="4865" max="4865" width="2.5546875" style="13" customWidth="1"/>
    <col min="4866" max="4866" width="19.6640625" style="13" customWidth="1"/>
    <col min="4867" max="4870" width="7.6640625" style="13" customWidth="1"/>
    <col min="4871" max="4878" width="8" style="13" customWidth="1"/>
    <col min="4879" max="4881" width="6.6640625" style="13" customWidth="1"/>
    <col min="4882" max="4882" width="7.33203125" style="13" customWidth="1"/>
    <col min="4883" max="4883" width="5.6640625" style="13" customWidth="1"/>
    <col min="4884" max="4884" width="9.109375" style="13" customWidth="1"/>
    <col min="4885" max="4885" width="6.6640625" style="13" customWidth="1"/>
    <col min="4886" max="4888" width="7.5546875" style="13" customWidth="1"/>
    <col min="4889" max="4889" width="6.6640625" style="13" customWidth="1"/>
    <col min="4890" max="4899" width="8.88671875" style="13"/>
    <col min="4900" max="4900" width="6.109375" style="13" customWidth="1"/>
    <col min="4901" max="5120" width="8.88671875" style="13"/>
    <col min="5121" max="5121" width="2.5546875" style="13" customWidth="1"/>
    <col min="5122" max="5122" width="19.6640625" style="13" customWidth="1"/>
    <col min="5123" max="5126" width="7.6640625" style="13" customWidth="1"/>
    <col min="5127" max="5134" width="8" style="13" customWidth="1"/>
    <col min="5135" max="5137" width="6.6640625" style="13" customWidth="1"/>
    <col min="5138" max="5138" width="7.33203125" style="13" customWidth="1"/>
    <col min="5139" max="5139" width="5.6640625" style="13" customWidth="1"/>
    <col min="5140" max="5140" width="9.109375" style="13" customWidth="1"/>
    <col min="5141" max="5141" width="6.6640625" style="13" customWidth="1"/>
    <col min="5142" max="5144" width="7.5546875" style="13" customWidth="1"/>
    <col min="5145" max="5145" width="6.6640625" style="13" customWidth="1"/>
    <col min="5146" max="5155" width="8.88671875" style="13"/>
    <col min="5156" max="5156" width="6.109375" style="13" customWidth="1"/>
    <col min="5157" max="5376" width="8.88671875" style="13"/>
    <col min="5377" max="5377" width="2.5546875" style="13" customWidth="1"/>
    <col min="5378" max="5378" width="19.6640625" style="13" customWidth="1"/>
    <col min="5379" max="5382" width="7.6640625" style="13" customWidth="1"/>
    <col min="5383" max="5390" width="8" style="13" customWidth="1"/>
    <col min="5391" max="5393" width="6.6640625" style="13" customWidth="1"/>
    <col min="5394" max="5394" width="7.33203125" style="13" customWidth="1"/>
    <col min="5395" max="5395" width="5.6640625" style="13" customWidth="1"/>
    <col min="5396" max="5396" width="9.109375" style="13" customWidth="1"/>
    <col min="5397" max="5397" width="6.6640625" style="13" customWidth="1"/>
    <col min="5398" max="5400" width="7.5546875" style="13" customWidth="1"/>
    <col min="5401" max="5401" width="6.6640625" style="13" customWidth="1"/>
    <col min="5402" max="5411" width="8.88671875" style="13"/>
    <col min="5412" max="5412" width="6.109375" style="13" customWidth="1"/>
    <col min="5413" max="5632" width="8.88671875" style="13"/>
    <col min="5633" max="5633" width="2.5546875" style="13" customWidth="1"/>
    <col min="5634" max="5634" width="19.6640625" style="13" customWidth="1"/>
    <col min="5635" max="5638" width="7.6640625" style="13" customWidth="1"/>
    <col min="5639" max="5646" width="8" style="13" customWidth="1"/>
    <col min="5647" max="5649" width="6.6640625" style="13" customWidth="1"/>
    <col min="5650" max="5650" width="7.33203125" style="13" customWidth="1"/>
    <col min="5651" max="5651" width="5.6640625" style="13" customWidth="1"/>
    <col min="5652" max="5652" width="9.109375" style="13" customWidth="1"/>
    <col min="5653" max="5653" width="6.6640625" style="13" customWidth="1"/>
    <col min="5654" max="5656" width="7.5546875" style="13" customWidth="1"/>
    <col min="5657" max="5657" width="6.6640625" style="13" customWidth="1"/>
    <col min="5658" max="5667" width="8.88671875" style="13"/>
    <col min="5668" max="5668" width="6.109375" style="13" customWidth="1"/>
    <col min="5669" max="5888" width="8.88671875" style="13"/>
    <col min="5889" max="5889" width="2.5546875" style="13" customWidth="1"/>
    <col min="5890" max="5890" width="19.6640625" style="13" customWidth="1"/>
    <col min="5891" max="5894" width="7.6640625" style="13" customWidth="1"/>
    <col min="5895" max="5902" width="8" style="13" customWidth="1"/>
    <col min="5903" max="5905" width="6.6640625" style="13" customWidth="1"/>
    <col min="5906" max="5906" width="7.33203125" style="13" customWidth="1"/>
    <col min="5907" max="5907" width="5.6640625" style="13" customWidth="1"/>
    <col min="5908" max="5908" width="9.109375" style="13" customWidth="1"/>
    <col min="5909" max="5909" width="6.6640625" style="13" customWidth="1"/>
    <col min="5910" max="5912" width="7.5546875" style="13" customWidth="1"/>
    <col min="5913" max="5913" width="6.6640625" style="13" customWidth="1"/>
    <col min="5914" max="5923" width="8.88671875" style="13"/>
    <col min="5924" max="5924" width="6.109375" style="13" customWidth="1"/>
    <col min="5925" max="6144" width="8.88671875" style="13"/>
    <col min="6145" max="6145" width="2.5546875" style="13" customWidth="1"/>
    <col min="6146" max="6146" width="19.6640625" style="13" customWidth="1"/>
    <col min="6147" max="6150" width="7.6640625" style="13" customWidth="1"/>
    <col min="6151" max="6158" width="8" style="13" customWidth="1"/>
    <col min="6159" max="6161" width="6.6640625" style="13" customWidth="1"/>
    <col min="6162" max="6162" width="7.33203125" style="13" customWidth="1"/>
    <col min="6163" max="6163" width="5.6640625" style="13" customWidth="1"/>
    <col min="6164" max="6164" width="9.109375" style="13" customWidth="1"/>
    <col min="6165" max="6165" width="6.6640625" style="13" customWidth="1"/>
    <col min="6166" max="6168" width="7.5546875" style="13" customWidth="1"/>
    <col min="6169" max="6169" width="6.6640625" style="13" customWidth="1"/>
    <col min="6170" max="6179" width="8.88671875" style="13"/>
    <col min="6180" max="6180" width="6.109375" style="13" customWidth="1"/>
    <col min="6181" max="6400" width="8.88671875" style="13"/>
    <col min="6401" max="6401" width="2.5546875" style="13" customWidth="1"/>
    <col min="6402" max="6402" width="19.6640625" style="13" customWidth="1"/>
    <col min="6403" max="6406" width="7.6640625" style="13" customWidth="1"/>
    <col min="6407" max="6414" width="8" style="13" customWidth="1"/>
    <col min="6415" max="6417" width="6.6640625" style="13" customWidth="1"/>
    <col min="6418" max="6418" width="7.33203125" style="13" customWidth="1"/>
    <col min="6419" max="6419" width="5.6640625" style="13" customWidth="1"/>
    <col min="6420" max="6420" width="9.109375" style="13" customWidth="1"/>
    <col min="6421" max="6421" width="6.6640625" style="13" customWidth="1"/>
    <col min="6422" max="6424" width="7.5546875" style="13" customWidth="1"/>
    <col min="6425" max="6425" width="6.6640625" style="13" customWidth="1"/>
    <col min="6426" max="6435" width="8.88671875" style="13"/>
    <col min="6436" max="6436" width="6.109375" style="13" customWidth="1"/>
    <col min="6437" max="6656" width="8.88671875" style="13"/>
    <col min="6657" max="6657" width="2.5546875" style="13" customWidth="1"/>
    <col min="6658" max="6658" width="19.6640625" style="13" customWidth="1"/>
    <col min="6659" max="6662" width="7.6640625" style="13" customWidth="1"/>
    <col min="6663" max="6670" width="8" style="13" customWidth="1"/>
    <col min="6671" max="6673" width="6.6640625" style="13" customWidth="1"/>
    <col min="6674" max="6674" width="7.33203125" style="13" customWidth="1"/>
    <col min="6675" max="6675" width="5.6640625" style="13" customWidth="1"/>
    <col min="6676" max="6676" width="9.109375" style="13" customWidth="1"/>
    <col min="6677" max="6677" width="6.6640625" style="13" customWidth="1"/>
    <col min="6678" max="6680" width="7.5546875" style="13" customWidth="1"/>
    <col min="6681" max="6681" width="6.6640625" style="13" customWidth="1"/>
    <col min="6682" max="6691" width="8.88671875" style="13"/>
    <col min="6692" max="6692" width="6.109375" style="13" customWidth="1"/>
    <col min="6693" max="6912" width="8.88671875" style="13"/>
    <col min="6913" max="6913" width="2.5546875" style="13" customWidth="1"/>
    <col min="6914" max="6914" width="19.6640625" style="13" customWidth="1"/>
    <col min="6915" max="6918" width="7.6640625" style="13" customWidth="1"/>
    <col min="6919" max="6926" width="8" style="13" customWidth="1"/>
    <col min="6927" max="6929" width="6.6640625" style="13" customWidth="1"/>
    <col min="6930" max="6930" width="7.33203125" style="13" customWidth="1"/>
    <col min="6931" max="6931" width="5.6640625" style="13" customWidth="1"/>
    <col min="6932" max="6932" width="9.109375" style="13" customWidth="1"/>
    <col min="6933" max="6933" width="6.6640625" style="13" customWidth="1"/>
    <col min="6934" max="6936" width="7.5546875" style="13" customWidth="1"/>
    <col min="6937" max="6937" width="6.6640625" style="13" customWidth="1"/>
    <col min="6938" max="6947" width="8.88671875" style="13"/>
    <col min="6948" max="6948" width="6.109375" style="13" customWidth="1"/>
    <col min="6949" max="7168" width="8.88671875" style="13"/>
    <col min="7169" max="7169" width="2.5546875" style="13" customWidth="1"/>
    <col min="7170" max="7170" width="19.6640625" style="13" customWidth="1"/>
    <col min="7171" max="7174" width="7.6640625" style="13" customWidth="1"/>
    <col min="7175" max="7182" width="8" style="13" customWidth="1"/>
    <col min="7183" max="7185" width="6.6640625" style="13" customWidth="1"/>
    <col min="7186" max="7186" width="7.33203125" style="13" customWidth="1"/>
    <col min="7187" max="7187" width="5.6640625" style="13" customWidth="1"/>
    <col min="7188" max="7188" width="9.109375" style="13" customWidth="1"/>
    <col min="7189" max="7189" width="6.6640625" style="13" customWidth="1"/>
    <col min="7190" max="7192" width="7.5546875" style="13" customWidth="1"/>
    <col min="7193" max="7193" width="6.6640625" style="13" customWidth="1"/>
    <col min="7194" max="7203" width="8.88671875" style="13"/>
    <col min="7204" max="7204" width="6.109375" style="13" customWidth="1"/>
    <col min="7205" max="7424" width="8.88671875" style="13"/>
    <col min="7425" max="7425" width="2.5546875" style="13" customWidth="1"/>
    <col min="7426" max="7426" width="19.6640625" style="13" customWidth="1"/>
    <col min="7427" max="7430" width="7.6640625" style="13" customWidth="1"/>
    <col min="7431" max="7438" width="8" style="13" customWidth="1"/>
    <col min="7439" max="7441" width="6.6640625" style="13" customWidth="1"/>
    <col min="7442" max="7442" width="7.33203125" style="13" customWidth="1"/>
    <col min="7443" max="7443" width="5.6640625" style="13" customWidth="1"/>
    <col min="7444" max="7444" width="9.109375" style="13" customWidth="1"/>
    <col min="7445" max="7445" width="6.6640625" style="13" customWidth="1"/>
    <col min="7446" max="7448" width="7.5546875" style="13" customWidth="1"/>
    <col min="7449" max="7449" width="6.6640625" style="13" customWidth="1"/>
    <col min="7450" max="7459" width="8.88671875" style="13"/>
    <col min="7460" max="7460" width="6.109375" style="13" customWidth="1"/>
    <col min="7461" max="7680" width="8.88671875" style="13"/>
    <col min="7681" max="7681" width="2.5546875" style="13" customWidth="1"/>
    <col min="7682" max="7682" width="19.6640625" style="13" customWidth="1"/>
    <col min="7683" max="7686" width="7.6640625" style="13" customWidth="1"/>
    <col min="7687" max="7694" width="8" style="13" customWidth="1"/>
    <col min="7695" max="7697" width="6.6640625" style="13" customWidth="1"/>
    <col min="7698" max="7698" width="7.33203125" style="13" customWidth="1"/>
    <col min="7699" max="7699" width="5.6640625" style="13" customWidth="1"/>
    <col min="7700" max="7700" width="9.109375" style="13" customWidth="1"/>
    <col min="7701" max="7701" width="6.6640625" style="13" customWidth="1"/>
    <col min="7702" max="7704" width="7.5546875" style="13" customWidth="1"/>
    <col min="7705" max="7705" width="6.6640625" style="13" customWidth="1"/>
    <col min="7706" max="7715" width="8.88671875" style="13"/>
    <col min="7716" max="7716" width="6.109375" style="13" customWidth="1"/>
    <col min="7717" max="7936" width="8.88671875" style="13"/>
    <col min="7937" max="7937" width="2.5546875" style="13" customWidth="1"/>
    <col min="7938" max="7938" width="19.6640625" style="13" customWidth="1"/>
    <col min="7939" max="7942" width="7.6640625" style="13" customWidth="1"/>
    <col min="7943" max="7950" width="8" style="13" customWidth="1"/>
    <col min="7951" max="7953" width="6.6640625" style="13" customWidth="1"/>
    <col min="7954" max="7954" width="7.33203125" style="13" customWidth="1"/>
    <col min="7955" max="7955" width="5.6640625" style="13" customWidth="1"/>
    <col min="7956" max="7956" width="9.109375" style="13" customWidth="1"/>
    <col min="7957" max="7957" width="6.6640625" style="13" customWidth="1"/>
    <col min="7958" max="7960" width="7.5546875" style="13" customWidth="1"/>
    <col min="7961" max="7961" width="6.6640625" style="13" customWidth="1"/>
    <col min="7962" max="7971" width="8.88671875" style="13"/>
    <col min="7972" max="7972" width="6.109375" style="13" customWidth="1"/>
    <col min="7973" max="8192" width="8.88671875" style="13"/>
    <col min="8193" max="8193" width="2.5546875" style="13" customWidth="1"/>
    <col min="8194" max="8194" width="19.6640625" style="13" customWidth="1"/>
    <col min="8195" max="8198" width="7.6640625" style="13" customWidth="1"/>
    <col min="8199" max="8206" width="8" style="13" customWidth="1"/>
    <col min="8207" max="8209" width="6.6640625" style="13" customWidth="1"/>
    <col min="8210" max="8210" width="7.33203125" style="13" customWidth="1"/>
    <col min="8211" max="8211" width="5.6640625" style="13" customWidth="1"/>
    <col min="8212" max="8212" width="9.109375" style="13" customWidth="1"/>
    <col min="8213" max="8213" width="6.6640625" style="13" customWidth="1"/>
    <col min="8214" max="8216" width="7.5546875" style="13" customWidth="1"/>
    <col min="8217" max="8217" width="6.6640625" style="13" customWidth="1"/>
    <col min="8218" max="8227" width="8.88671875" style="13"/>
    <col min="8228" max="8228" width="6.109375" style="13" customWidth="1"/>
    <col min="8229" max="8448" width="8.88671875" style="13"/>
    <col min="8449" max="8449" width="2.5546875" style="13" customWidth="1"/>
    <col min="8450" max="8450" width="19.6640625" style="13" customWidth="1"/>
    <col min="8451" max="8454" width="7.6640625" style="13" customWidth="1"/>
    <col min="8455" max="8462" width="8" style="13" customWidth="1"/>
    <col min="8463" max="8465" width="6.6640625" style="13" customWidth="1"/>
    <col min="8466" max="8466" width="7.33203125" style="13" customWidth="1"/>
    <col min="8467" max="8467" width="5.6640625" style="13" customWidth="1"/>
    <col min="8468" max="8468" width="9.109375" style="13" customWidth="1"/>
    <col min="8469" max="8469" width="6.6640625" style="13" customWidth="1"/>
    <col min="8470" max="8472" width="7.5546875" style="13" customWidth="1"/>
    <col min="8473" max="8473" width="6.6640625" style="13" customWidth="1"/>
    <col min="8474" max="8483" width="8.88671875" style="13"/>
    <col min="8484" max="8484" width="6.109375" style="13" customWidth="1"/>
    <col min="8485" max="8704" width="8.88671875" style="13"/>
    <col min="8705" max="8705" width="2.5546875" style="13" customWidth="1"/>
    <col min="8706" max="8706" width="19.6640625" style="13" customWidth="1"/>
    <col min="8707" max="8710" width="7.6640625" style="13" customWidth="1"/>
    <col min="8711" max="8718" width="8" style="13" customWidth="1"/>
    <col min="8719" max="8721" width="6.6640625" style="13" customWidth="1"/>
    <col min="8722" max="8722" width="7.33203125" style="13" customWidth="1"/>
    <col min="8723" max="8723" width="5.6640625" style="13" customWidth="1"/>
    <col min="8724" max="8724" width="9.109375" style="13" customWidth="1"/>
    <col min="8725" max="8725" width="6.6640625" style="13" customWidth="1"/>
    <col min="8726" max="8728" width="7.5546875" style="13" customWidth="1"/>
    <col min="8729" max="8729" width="6.6640625" style="13" customWidth="1"/>
    <col min="8730" max="8739" width="8.88671875" style="13"/>
    <col min="8740" max="8740" width="6.109375" style="13" customWidth="1"/>
    <col min="8741" max="8960" width="8.88671875" style="13"/>
    <col min="8961" max="8961" width="2.5546875" style="13" customWidth="1"/>
    <col min="8962" max="8962" width="19.6640625" style="13" customWidth="1"/>
    <col min="8963" max="8966" width="7.6640625" style="13" customWidth="1"/>
    <col min="8967" max="8974" width="8" style="13" customWidth="1"/>
    <col min="8975" max="8977" width="6.6640625" style="13" customWidth="1"/>
    <col min="8978" max="8978" width="7.33203125" style="13" customWidth="1"/>
    <col min="8979" max="8979" width="5.6640625" style="13" customWidth="1"/>
    <col min="8980" max="8980" width="9.109375" style="13" customWidth="1"/>
    <col min="8981" max="8981" width="6.6640625" style="13" customWidth="1"/>
    <col min="8982" max="8984" width="7.5546875" style="13" customWidth="1"/>
    <col min="8985" max="8985" width="6.6640625" style="13" customWidth="1"/>
    <col min="8986" max="8995" width="8.88671875" style="13"/>
    <col min="8996" max="8996" width="6.109375" style="13" customWidth="1"/>
    <col min="8997" max="9216" width="8.88671875" style="13"/>
    <col min="9217" max="9217" width="2.5546875" style="13" customWidth="1"/>
    <col min="9218" max="9218" width="19.6640625" style="13" customWidth="1"/>
    <col min="9219" max="9222" width="7.6640625" style="13" customWidth="1"/>
    <col min="9223" max="9230" width="8" style="13" customWidth="1"/>
    <col min="9231" max="9233" width="6.6640625" style="13" customWidth="1"/>
    <col min="9234" max="9234" width="7.33203125" style="13" customWidth="1"/>
    <col min="9235" max="9235" width="5.6640625" style="13" customWidth="1"/>
    <col min="9236" max="9236" width="9.109375" style="13" customWidth="1"/>
    <col min="9237" max="9237" width="6.6640625" style="13" customWidth="1"/>
    <col min="9238" max="9240" width="7.5546875" style="13" customWidth="1"/>
    <col min="9241" max="9241" width="6.6640625" style="13" customWidth="1"/>
    <col min="9242" max="9251" width="8.88671875" style="13"/>
    <col min="9252" max="9252" width="6.109375" style="13" customWidth="1"/>
    <col min="9253" max="9472" width="8.88671875" style="13"/>
    <col min="9473" max="9473" width="2.5546875" style="13" customWidth="1"/>
    <col min="9474" max="9474" width="19.6640625" style="13" customWidth="1"/>
    <col min="9475" max="9478" width="7.6640625" style="13" customWidth="1"/>
    <col min="9479" max="9486" width="8" style="13" customWidth="1"/>
    <col min="9487" max="9489" width="6.6640625" style="13" customWidth="1"/>
    <col min="9490" max="9490" width="7.33203125" style="13" customWidth="1"/>
    <col min="9491" max="9491" width="5.6640625" style="13" customWidth="1"/>
    <col min="9492" max="9492" width="9.109375" style="13" customWidth="1"/>
    <col min="9493" max="9493" width="6.6640625" style="13" customWidth="1"/>
    <col min="9494" max="9496" width="7.5546875" style="13" customWidth="1"/>
    <col min="9497" max="9497" width="6.6640625" style="13" customWidth="1"/>
    <col min="9498" max="9507" width="8.88671875" style="13"/>
    <col min="9508" max="9508" width="6.109375" style="13" customWidth="1"/>
    <col min="9509" max="9728" width="8.88671875" style="13"/>
    <col min="9729" max="9729" width="2.5546875" style="13" customWidth="1"/>
    <col min="9730" max="9730" width="19.6640625" style="13" customWidth="1"/>
    <col min="9731" max="9734" width="7.6640625" style="13" customWidth="1"/>
    <col min="9735" max="9742" width="8" style="13" customWidth="1"/>
    <col min="9743" max="9745" width="6.6640625" style="13" customWidth="1"/>
    <col min="9746" max="9746" width="7.33203125" style="13" customWidth="1"/>
    <col min="9747" max="9747" width="5.6640625" style="13" customWidth="1"/>
    <col min="9748" max="9748" width="9.109375" style="13" customWidth="1"/>
    <col min="9749" max="9749" width="6.6640625" style="13" customWidth="1"/>
    <col min="9750" max="9752" width="7.5546875" style="13" customWidth="1"/>
    <col min="9753" max="9753" width="6.6640625" style="13" customWidth="1"/>
    <col min="9754" max="9763" width="8.88671875" style="13"/>
    <col min="9764" max="9764" width="6.109375" style="13" customWidth="1"/>
    <col min="9765" max="9984" width="8.88671875" style="13"/>
    <col min="9985" max="9985" width="2.5546875" style="13" customWidth="1"/>
    <col min="9986" max="9986" width="19.6640625" style="13" customWidth="1"/>
    <col min="9987" max="9990" width="7.6640625" style="13" customWidth="1"/>
    <col min="9991" max="9998" width="8" style="13" customWidth="1"/>
    <col min="9999" max="10001" width="6.6640625" style="13" customWidth="1"/>
    <col min="10002" max="10002" width="7.33203125" style="13" customWidth="1"/>
    <col min="10003" max="10003" width="5.6640625" style="13" customWidth="1"/>
    <col min="10004" max="10004" width="9.109375" style="13" customWidth="1"/>
    <col min="10005" max="10005" width="6.6640625" style="13" customWidth="1"/>
    <col min="10006" max="10008" width="7.5546875" style="13" customWidth="1"/>
    <col min="10009" max="10009" width="6.6640625" style="13" customWidth="1"/>
    <col min="10010" max="10019" width="8.88671875" style="13"/>
    <col min="10020" max="10020" width="6.109375" style="13" customWidth="1"/>
    <col min="10021" max="10240" width="8.88671875" style="13"/>
    <col min="10241" max="10241" width="2.5546875" style="13" customWidth="1"/>
    <col min="10242" max="10242" width="19.6640625" style="13" customWidth="1"/>
    <col min="10243" max="10246" width="7.6640625" style="13" customWidth="1"/>
    <col min="10247" max="10254" width="8" style="13" customWidth="1"/>
    <col min="10255" max="10257" width="6.6640625" style="13" customWidth="1"/>
    <col min="10258" max="10258" width="7.33203125" style="13" customWidth="1"/>
    <col min="10259" max="10259" width="5.6640625" style="13" customWidth="1"/>
    <col min="10260" max="10260" width="9.109375" style="13" customWidth="1"/>
    <col min="10261" max="10261" width="6.6640625" style="13" customWidth="1"/>
    <col min="10262" max="10264" width="7.5546875" style="13" customWidth="1"/>
    <col min="10265" max="10265" width="6.6640625" style="13" customWidth="1"/>
    <col min="10266" max="10275" width="8.88671875" style="13"/>
    <col min="10276" max="10276" width="6.109375" style="13" customWidth="1"/>
    <col min="10277" max="10496" width="8.88671875" style="13"/>
    <col min="10497" max="10497" width="2.5546875" style="13" customWidth="1"/>
    <col min="10498" max="10498" width="19.6640625" style="13" customWidth="1"/>
    <col min="10499" max="10502" width="7.6640625" style="13" customWidth="1"/>
    <col min="10503" max="10510" width="8" style="13" customWidth="1"/>
    <col min="10511" max="10513" width="6.6640625" style="13" customWidth="1"/>
    <col min="10514" max="10514" width="7.33203125" style="13" customWidth="1"/>
    <col min="10515" max="10515" width="5.6640625" style="13" customWidth="1"/>
    <col min="10516" max="10516" width="9.109375" style="13" customWidth="1"/>
    <col min="10517" max="10517" width="6.6640625" style="13" customWidth="1"/>
    <col min="10518" max="10520" width="7.5546875" style="13" customWidth="1"/>
    <col min="10521" max="10521" width="6.6640625" style="13" customWidth="1"/>
    <col min="10522" max="10531" width="8.88671875" style="13"/>
    <col min="10532" max="10532" width="6.109375" style="13" customWidth="1"/>
    <col min="10533" max="10752" width="8.88671875" style="13"/>
    <col min="10753" max="10753" width="2.5546875" style="13" customWidth="1"/>
    <col min="10754" max="10754" width="19.6640625" style="13" customWidth="1"/>
    <col min="10755" max="10758" width="7.6640625" style="13" customWidth="1"/>
    <col min="10759" max="10766" width="8" style="13" customWidth="1"/>
    <col min="10767" max="10769" width="6.6640625" style="13" customWidth="1"/>
    <col min="10770" max="10770" width="7.33203125" style="13" customWidth="1"/>
    <col min="10771" max="10771" width="5.6640625" style="13" customWidth="1"/>
    <col min="10772" max="10772" width="9.109375" style="13" customWidth="1"/>
    <col min="10773" max="10773" width="6.6640625" style="13" customWidth="1"/>
    <col min="10774" max="10776" width="7.5546875" style="13" customWidth="1"/>
    <col min="10777" max="10777" width="6.6640625" style="13" customWidth="1"/>
    <col min="10778" max="10787" width="8.88671875" style="13"/>
    <col min="10788" max="10788" width="6.109375" style="13" customWidth="1"/>
    <col min="10789" max="11008" width="8.88671875" style="13"/>
    <col min="11009" max="11009" width="2.5546875" style="13" customWidth="1"/>
    <col min="11010" max="11010" width="19.6640625" style="13" customWidth="1"/>
    <col min="11011" max="11014" width="7.6640625" style="13" customWidth="1"/>
    <col min="11015" max="11022" width="8" style="13" customWidth="1"/>
    <col min="11023" max="11025" width="6.6640625" style="13" customWidth="1"/>
    <col min="11026" max="11026" width="7.33203125" style="13" customWidth="1"/>
    <col min="11027" max="11027" width="5.6640625" style="13" customWidth="1"/>
    <col min="11028" max="11028" width="9.109375" style="13" customWidth="1"/>
    <col min="11029" max="11029" width="6.6640625" style="13" customWidth="1"/>
    <col min="11030" max="11032" width="7.5546875" style="13" customWidth="1"/>
    <col min="11033" max="11033" width="6.6640625" style="13" customWidth="1"/>
    <col min="11034" max="11043" width="8.88671875" style="13"/>
    <col min="11044" max="11044" width="6.109375" style="13" customWidth="1"/>
    <col min="11045" max="11264" width="8.88671875" style="13"/>
    <col min="11265" max="11265" width="2.5546875" style="13" customWidth="1"/>
    <col min="11266" max="11266" width="19.6640625" style="13" customWidth="1"/>
    <col min="11267" max="11270" width="7.6640625" style="13" customWidth="1"/>
    <col min="11271" max="11278" width="8" style="13" customWidth="1"/>
    <col min="11279" max="11281" width="6.6640625" style="13" customWidth="1"/>
    <col min="11282" max="11282" width="7.33203125" style="13" customWidth="1"/>
    <col min="11283" max="11283" width="5.6640625" style="13" customWidth="1"/>
    <col min="11284" max="11284" width="9.109375" style="13" customWidth="1"/>
    <col min="11285" max="11285" width="6.6640625" style="13" customWidth="1"/>
    <col min="11286" max="11288" width="7.5546875" style="13" customWidth="1"/>
    <col min="11289" max="11289" width="6.6640625" style="13" customWidth="1"/>
    <col min="11290" max="11299" width="8.88671875" style="13"/>
    <col min="11300" max="11300" width="6.109375" style="13" customWidth="1"/>
    <col min="11301" max="11520" width="8.88671875" style="13"/>
    <col min="11521" max="11521" width="2.5546875" style="13" customWidth="1"/>
    <col min="11522" max="11522" width="19.6640625" style="13" customWidth="1"/>
    <col min="11523" max="11526" width="7.6640625" style="13" customWidth="1"/>
    <col min="11527" max="11534" width="8" style="13" customWidth="1"/>
    <col min="11535" max="11537" width="6.6640625" style="13" customWidth="1"/>
    <col min="11538" max="11538" width="7.33203125" style="13" customWidth="1"/>
    <col min="11539" max="11539" width="5.6640625" style="13" customWidth="1"/>
    <col min="11540" max="11540" width="9.109375" style="13" customWidth="1"/>
    <col min="11541" max="11541" width="6.6640625" style="13" customWidth="1"/>
    <col min="11542" max="11544" width="7.5546875" style="13" customWidth="1"/>
    <col min="11545" max="11545" width="6.6640625" style="13" customWidth="1"/>
    <col min="11546" max="11555" width="8.88671875" style="13"/>
    <col min="11556" max="11556" width="6.109375" style="13" customWidth="1"/>
    <col min="11557" max="11776" width="8.88671875" style="13"/>
    <col min="11777" max="11777" width="2.5546875" style="13" customWidth="1"/>
    <col min="11778" max="11778" width="19.6640625" style="13" customWidth="1"/>
    <col min="11779" max="11782" width="7.6640625" style="13" customWidth="1"/>
    <col min="11783" max="11790" width="8" style="13" customWidth="1"/>
    <col min="11791" max="11793" width="6.6640625" style="13" customWidth="1"/>
    <col min="11794" max="11794" width="7.33203125" style="13" customWidth="1"/>
    <col min="11795" max="11795" width="5.6640625" style="13" customWidth="1"/>
    <col min="11796" max="11796" width="9.109375" style="13" customWidth="1"/>
    <col min="11797" max="11797" width="6.6640625" style="13" customWidth="1"/>
    <col min="11798" max="11800" width="7.5546875" style="13" customWidth="1"/>
    <col min="11801" max="11801" width="6.6640625" style="13" customWidth="1"/>
    <col min="11802" max="11811" width="8.88671875" style="13"/>
    <col min="11812" max="11812" width="6.109375" style="13" customWidth="1"/>
    <col min="11813" max="12032" width="8.88671875" style="13"/>
    <col min="12033" max="12033" width="2.5546875" style="13" customWidth="1"/>
    <col min="12034" max="12034" width="19.6640625" style="13" customWidth="1"/>
    <col min="12035" max="12038" width="7.6640625" style="13" customWidth="1"/>
    <col min="12039" max="12046" width="8" style="13" customWidth="1"/>
    <col min="12047" max="12049" width="6.6640625" style="13" customWidth="1"/>
    <col min="12050" max="12050" width="7.33203125" style="13" customWidth="1"/>
    <col min="12051" max="12051" width="5.6640625" style="13" customWidth="1"/>
    <col min="12052" max="12052" width="9.109375" style="13" customWidth="1"/>
    <col min="12053" max="12053" width="6.6640625" style="13" customWidth="1"/>
    <col min="12054" max="12056" width="7.5546875" style="13" customWidth="1"/>
    <col min="12057" max="12057" width="6.6640625" style="13" customWidth="1"/>
    <col min="12058" max="12067" width="8.88671875" style="13"/>
    <col min="12068" max="12068" width="6.109375" style="13" customWidth="1"/>
    <col min="12069" max="12288" width="8.88671875" style="13"/>
    <col min="12289" max="12289" width="2.5546875" style="13" customWidth="1"/>
    <col min="12290" max="12290" width="19.6640625" style="13" customWidth="1"/>
    <col min="12291" max="12294" width="7.6640625" style="13" customWidth="1"/>
    <col min="12295" max="12302" width="8" style="13" customWidth="1"/>
    <col min="12303" max="12305" width="6.6640625" style="13" customWidth="1"/>
    <col min="12306" max="12306" width="7.33203125" style="13" customWidth="1"/>
    <col min="12307" max="12307" width="5.6640625" style="13" customWidth="1"/>
    <col min="12308" max="12308" width="9.109375" style="13" customWidth="1"/>
    <col min="12309" max="12309" width="6.6640625" style="13" customWidth="1"/>
    <col min="12310" max="12312" width="7.5546875" style="13" customWidth="1"/>
    <col min="12313" max="12313" width="6.6640625" style="13" customWidth="1"/>
    <col min="12314" max="12323" width="8.88671875" style="13"/>
    <col min="12324" max="12324" width="6.109375" style="13" customWidth="1"/>
    <col min="12325" max="12544" width="8.88671875" style="13"/>
    <col min="12545" max="12545" width="2.5546875" style="13" customWidth="1"/>
    <col min="12546" max="12546" width="19.6640625" style="13" customWidth="1"/>
    <col min="12547" max="12550" width="7.6640625" style="13" customWidth="1"/>
    <col min="12551" max="12558" width="8" style="13" customWidth="1"/>
    <col min="12559" max="12561" width="6.6640625" style="13" customWidth="1"/>
    <col min="12562" max="12562" width="7.33203125" style="13" customWidth="1"/>
    <col min="12563" max="12563" width="5.6640625" style="13" customWidth="1"/>
    <col min="12564" max="12564" width="9.109375" style="13" customWidth="1"/>
    <col min="12565" max="12565" width="6.6640625" style="13" customWidth="1"/>
    <col min="12566" max="12568" width="7.5546875" style="13" customWidth="1"/>
    <col min="12569" max="12569" width="6.6640625" style="13" customWidth="1"/>
    <col min="12570" max="12579" width="8.88671875" style="13"/>
    <col min="12580" max="12580" width="6.109375" style="13" customWidth="1"/>
    <col min="12581" max="12800" width="8.88671875" style="13"/>
    <col min="12801" max="12801" width="2.5546875" style="13" customWidth="1"/>
    <col min="12802" max="12802" width="19.6640625" style="13" customWidth="1"/>
    <col min="12803" max="12806" width="7.6640625" style="13" customWidth="1"/>
    <col min="12807" max="12814" width="8" style="13" customWidth="1"/>
    <col min="12815" max="12817" width="6.6640625" style="13" customWidth="1"/>
    <col min="12818" max="12818" width="7.33203125" style="13" customWidth="1"/>
    <col min="12819" max="12819" width="5.6640625" style="13" customWidth="1"/>
    <col min="12820" max="12820" width="9.109375" style="13" customWidth="1"/>
    <col min="12821" max="12821" width="6.6640625" style="13" customWidth="1"/>
    <col min="12822" max="12824" width="7.5546875" style="13" customWidth="1"/>
    <col min="12825" max="12825" width="6.6640625" style="13" customWidth="1"/>
    <col min="12826" max="12835" width="8.88671875" style="13"/>
    <col min="12836" max="12836" width="6.109375" style="13" customWidth="1"/>
    <col min="12837" max="13056" width="8.88671875" style="13"/>
    <col min="13057" max="13057" width="2.5546875" style="13" customWidth="1"/>
    <col min="13058" max="13058" width="19.6640625" style="13" customWidth="1"/>
    <col min="13059" max="13062" width="7.6640625" style="13" customWidth="1"/>
    <col min="13063" max="13070" width="8" style="13" customWidth="1"/>
    <col min="13071" max="13073" width="6.6640625" style="13" customWidth="1"/>
    <col min="13074" max="13074" width="7.33203125" style="13" customWidth="1"/>
    <col min="13075" max="13075" width="5.6640625" style="13" customWidth="1"/>
    <col min="13076" max="13076" width="9.109375" style="13" customWidth="1"/>
    <col min="13077" max="13077" width="6.6640625" style="13" customWidth="1"/>
    <col min="13078" max="13080" width="7.5546875" style="13" customWidth="1"/>
    <col min="13081" max="13081" width="6.6640625" style="13" customWidth="1"/>
    <col min="13082" max="13091" width="8.88671875" style="13"/>
    <col min="13092" max="13092" width="6.109375" style="13" customWidth="1"/>
    <col min="13093" max="13312" width="8.88671875" style="13"/>
    <col min="13313" max="13313" width="2.5546875" style="13" customWidth="1"/>
    <col min="13314" max="13314" width="19.6640625" style="13" customWidth="1"/>
    <col min="13315" max="13318" width="7.6640625" style="13" customWidth="1"/>
    <col min="13319" max="13326" width="8" style="13" customWidth="1"/>
    <col min="13327" max="13329" width="6.6640625" style="13" customWidth="1"/>
    <col min="13330" max="13330" width="7.33203125" style="13" customWidth="1"/>
    <col min="13331" max="13331" width="5.6640625" style="13" customWidth="1"/>
    <col min="13332" max="13332" width="9.109375" style="13" customWidth="1"/>
    <col min="13333" max="13333" width="6.6640625" style="13" customWidth="1"/>
    <col min="13334" max="13336" width="7.5546875" style="13" customWidth="1"/>
    <col min="13337" max="13337" width="6.6640625" style="13" customWidth="1"/>
    <col min="13338" max="13347" width="8.88671875" style="13"/>
    <col min="13348" max="13348" width="6.109375" style="13" customWidth="1"/>
    <col min="13349" max="13568" width="8.88671875" style="13"/>
    <col min="13569" max="13569" width="2.5546875" style="13" customWidth="1"/>
    <col min="13570" max="13570" width="19.6640625" style="13" customWidth="1"/>
    <col min="13571" max="13574" width="7.6640625" style="13" customWidth="1"/>
    <col min="13575" max="13582" width="8" style="13" customWidth="1"/>
    <col min="13583" max="13585" width="6.6640625" style="13" customWidth="1"/>
    <col min="13586" max="13586" width="7.33203125" style="13" customWidth="1"/>
    <col min="13587" max="13587" width="5.6640625" style="13" customWidth="1"/>
    <col min="13588" max="13588" width="9.109375" style="13" customWidth="1"/>
    <col min="13589" max="13589" width="6.6640625" style="13" customWidth="1"/>
    <col min="13590" max="13592" width="7.5546875" style="13" customWidth="1"/>
    <col min="13593" max="13593" width="6.6640625" style="13" customWidth="1"/>
    <col min="13594" max="13603" width="8.88671875" style="13"/>
    <col min="13604" max="13604" width="6.109375" style="13" customWidth="1"/>
    <col min="13605" max="13824" width="8.88671875" style="13"/>
    <col min="13825" max="13825" width="2.5546875" style="13" customWidth="1"/>
    <col min="13826" max="13826" width="19.6640625" style="13" customWidth="1"/>
    <col min="13827" max="13830" width="7.6640625" style="13" customWidth="1"/>
    <col min="13831" max="13838" width="8" style="13" customWidth="1"/>
    <col min="13839" max="13841" width="6.6640625" style="13" customWidth="1"/>
    <col min="13842" max="13842" width="7.33203125" style="13" customWidth="1"/>
    <col min="13843" max="13843" width="5.6640625" style="13" customWidth="1"/>
    <col min="13844" max="13844" width="9.109375" style="13" customWidth="1"/>
    <col min="13845" max="13845" width="6.6640625" style="13" customWidth="1"/>
    <col min="13846" max="13848" width="7.5546875" style="13" customWidth="1"/>
    <col min="13849" max="13849" width="6.6640625" style="13" customWidth="1"/>
    <col min="13850" max="13859" width="8.88671875" style="13"/>
    <col min="13860" max="13860" width="6.109375" style="13" customWidth="1"/>
    <col min="13861" max="14080" width="8.88671875" style="13"/>
    <col min="14081" max="14081" width="2.5546875" style="13" customWidth="1"/>
    <col min="14082" max="14082" width="19.6640625" style="13" customWidth="1"/>
    <col min="14083" max="14086" width="7.6640625" style="13" customWidth="1"/>
    <col min="14087" max="14094" width="8" style="13" customWidth="1"/>
    <col min="14095" max="14097" width="6.6640625" style="13" customWidth="1"/>
    <col min="14098" max="14098" width="7.33203125" style="13" customWidth="1"/>
    <col min="14099" max="14099" width="5.6640625" style="13" customWidth="1"/>
    <col min="14100" max="14100" width="9.109375" style="13" customWidth="1"/>
    <col min="14101" max="14101" width="6.6640625" style="13" customWidth="1"/>
    <col min="14102" max="14104" width="7.5546875" style="13" customWidth="1"/>
    <col min="14105" max="14105" width="6.6640625" style="13" customWidth="1"/>
    <col min="14106" max="14115" width="8.88671875" style="13"/>
    <col min="14116" max="14116" width="6.109375" style="13" customWidth="1"/>
    <col min="14117" max="14336" width="8.88671875" style="13"/>
    <col min="14337" max="14337" width="2.5546875" style="13" customWidth="1"/>
    <col min="14338" max="14338" width="19.6640625" style="13" customWidth="1"/>
    <col min="14339" max="14342" width="7.6640625" style="13" customWidth="1"/>
    <col min="14343" max="14350" width="8" style="13" customWidth="1"/>
    <col min="14351" max="14353" width="6.6640625" style="13" customWidth="1"/>
    <col min="14354" max="14354" width="7.33203125" style="13" customWidth="1"/>
    <col min="14355" max="14355" width="5.6640625" style="13" customWidth="1"/>
    <col min="14356" max="14356" width="9.109375" style="13" customWidth="1"/>
    <col min="14357" max="14357" width="6.6640625" style="13" customWidth="1"/>
    <col min="14358" max="14360" width="7.5546875" style="13" customWidth="1"/>
    <col min="14361" max="14361" width="6.6640625" style="13" customWidth="1"/>
    <col min="14362" max="14371" width="8.88671875" style="13"/>
    <col min="14372" max="14372" width="6.109375" style="13" customWidth="1"/>
    <col min="14373" max="14592" width="8.88671875" style="13"/>
    <col min="14593" max="14593" width="2.5546875" style="13" customWidth="1"/>
    <col min="14594" max="14594" width="19.6640625" style="13" customWidth="1"/>
    <col min="14595" max="14598" width="7.6640625" style="13" customWidth="1"/>
    <col min="14599" max="14606" width="8" style="13" customWidth="1"/>
    <col min="14607" max="14609" width="6.6640625" style="13" customWidth="1"/>
    <col min="14610" max="14610" width="7.33203125" style="13" customWidth="1"/>
    <col min="14611" max="14611" width="5.6640625" style="13" customWidth="1"/>
    <col min="14612" max="14612" width="9.109375" style="13" customWidth="1"/>
    <col min="14613" max="14613" width="6.6640625" style="13" customWidth="1"/>
    <col min="14614" max="14616" width="7.5546875" style="13" customWidth="1"/>
    <col min="14617" max="14617" width="6.6640625" style="13" customWidth="1"/>
    <col min="14618" max="14627" width="8.88671875" style="13"/>
    <col min="14628" max="14628" width="6.109375" style="13" customWidth="1"/>
    <col min="14629" max="14848" width="8.88671875" style="13"/>
    <col min="14849" max="14849" width="2.5546875" style="13" customWidth="1"/>
    <col min="14850" max="14850" width="19.6640625" style="13" customWidth="1"/>
    <col min="14851" max="14854" width="7.6640625" style="13" customWidth="1"/>
    <col min="14855" max="14862" width="8" style="13" customWidth="1"/>
    <col min="14863" max="14865" width="6.6640625" style="13" customWidth="1"/>
    <col min="14866" max="14866" width="7.33203125" style="13" customWidth="1"/>
    <col min="14867" max="14867" width="5.6640625" style="13" customWidth="1"/>
    <col min="14868" max="14868" width="9.109375" style="13" customWidth="1"/>
    <col min="14869" max="14869" width="6.6640625" style="13" customWidth="1"/>
    <col min="14870" max="14872" width="7.5546875" style="13" customWidth="1"/>
    <col min="14873" max="14873" width="6.6640625" style="13" customWidth="1"/>
    <col min="14874" max="14883" width="8.88671875" style="13"/>
    <col min="14884" max="14884" width="6.109375" style="13" customWidth="1"/>
    <col min="14885" max="15104" width="8.88671875" style="13"/>
    <col min="15105" max="15105" width="2.5546875" style="13" customWidth="1"/>
    <col min="15106" max="15106" width="19.6640625" style="13" customWidth="1"/>
    <col min="15107" max="15110" width="7.6640625" style="13" customWidth="1"/>
    <col min="15111" max="15118" width="8" style="13" customWidth="1"/>
    <col min="15119" max="15121" width="6.6640625" style="13" customWidth="1"/>
    <col min="15122" max="15122" width="7.33203125" style="13" customWidth="1"/>
    <col min="15123" max="15123" width="5.6640625" style="13" customWidth="1"/>
    <col min="15124" max="15124" width="9.109375" style="13" customWidth="1"/>
    <col min="15125" max="15125" width="6.6640625" style="13" customWidth="1"/>
    <col min="15126" max="15128" width="7.5546875" style="13" customWidth="1"/>
    <col min="15129" max="15129" width="6.6640625" style="13" customWidth="1"/>
    <col min="15130" max="15139" width="8.88671875" style="13"/>
    <col min="15140" max="15140" width="6.109375" style="13" customWidth="1"/>
    <col min="15141" max="15360" width="8.88671875" style="13"/>
    <col min="15361" max="15361" width="2.5546875" style="13" customWidth="1"/>
    <col min="15362" max="15362" width="19.6640625" style="13" customWidth="1"/>
    <col min="15363" max="15366" width="7.6640625" style="13" customWidth="1"/>
    <col min="15367" max="15374" width="8" style="13" customWidth="1"/>
    <col min="15375" max="15377" width="6.6640625" style="13" customWidth="1"/>
    <col min="15378" max="15378" width="7.33203125" style="13" customWidth="1"/>
    <col min="15379" max="15379" width="5.6640625" style="13" customWidth="1"/>
    <col min="15380" max="15380" width="9.109375" style="13" customWidth="1"/>
    <col min="15381" max="15381" width="6.6640625" style="13" customWidth="1"/>
    <col min="15382" max="15384" width="7.5546875" style="13" customWidth="1"/>
    <col min="15385" max="15385" width="6.6640625" style="13" customWidth="1"/>
    <col min="15386" max="15395" width="8.88671875" style="13"/>
    <col min="15396" max="15396" width="6.109375" style="13" customWidth="1"/>
    <col min="15397" max="15616" width="8.88671875" style="13"/>
    <col min="15617" max="15617" width="2.5546875" style="13" customWidth="1"/>
    <col min="15618" max="15618" width="19.6640625" style="13" customWidth="1"/>
    <col min="15619" max="15622" width="7.6640625" style="13" customWidth="1"/>
    <col min="15623" max="15630" width="8" style="13" customWidth="1"/>
    <col min="15631" max="15633" width="6.6640625" style="13" customWidth="1"/>
    <col min="15634" max="15634" width="7.33203125" style="13" customWidth="1"/>
    <col min="15635" max="15635" width="5.6640625" style="13" customWidth="1"/>
    <col min="15636" max="15636" width="9.109375" style="13" customWidth="1"/>
    <col min="15637" max="15637" width="6.6640625" style="13" customWidth="1"/>
    <col min="15638" max="15640" width="7.5546875" style="13" customWidth="1"/>
    <col min="15641" max="15641" width="6.6640625" style="13" customWidth="1"/>
    <col min="15642" max="15651" width="8.88671875" style="13"/>
    <col min="15652" max="15652" width="6.109375" style="13" customWidth="1"/>
    <col min="15653" max="15872" width="8.88671875" style="13"/>
    <col min="15873" max="15873" width="2.5546875" style="13" customWidth="1"/>
    <col min="15874" max="15874" width="19.6640625" style="13" customWidth="1"/>
    <col min="15875" max="15878" width="7.6640625" style="13" customWidth="1"/>
    <col min="15879" max="15886" width="8" style="13" customWidth="1"/>
    <col min="15887" max="15889" width="6.6640625" style="13" customWidth="1"/>
    <col min="15890" max="15890" width="7.33203125" style="13" customWidth="1"/>
    <col min="15891" max="15891" width="5.6640625" style="13" customWidth="1"/>
    <col min="15892" max="15892" width="9.109375" style="13" customWidth="1"/>
    <col min="15893" max="15893" width="6.6640625" style="13" customWidth="1"/>
    <col min="15894" max="15896" width="7.5546875" style="13" customWidth="1"/>
    <col min="15897" max="15897" width="6.6640625" style="13" customWidth="1"/>
    <col min="15898" max="15907" width="8.88671875" style="13"/>
    <col min="15908" max="15908" width="6.109375" style="13" customWidth="1"/>
    <col min="15909" max="16128" width="8.88671875" style="13"/>
    <col min="16129" max="16129" width="2.5546875" style="13" customWidth="1"/>
    <col min="16130" max="16130" width="19.6640625" style="13" customWidth="1"/>
    <col min="16131" max="16134" width="7.6640625" style="13" customWidth="1"/>
    <col min="16135" max="16142" width="8" style="13" customWidth="1"/>
    <col min="16143" max="16145" width="6.6640625" style="13" customWidth="1"/>
    <col min="16146" max="16146" width="7.33203125" style="13" customWidth="1"/>
    <col min="16147" max="16147" width="5.6640625" style="13" customWidth="1"/>
    <col min="16148" max="16148" width="9.109375" style="13" customWidth="1"/>
    <col min="16149" max="16149" width="6.6640625" style="13" customWidth="1"/>
    <col min="16150" max="16152" width="7.5546875" style="13" customWidth="1"/>
    <col min="16153" max="16153" width="6.6640625" style="13" customWidth="1"/>
    <col min="16154" max="16163" width="8.88671875" style="13"/>
    <col min="16164" max="16164" width="6.109375" style="13" customWidth="1"/>
    <col min="16165" max="16384" width="8.88671875" style="13"/>
  </cols>
  <sheetData>
    <row r="1" spans="2:25" s="52" customFormat="1" ht="13.8" x14ac:dyDescent="0.25">
      <c r="B1" s="109" t="s">
        <v>99</v>
      </c>
      <c r="E1" s="45"/>
      <c r="F1" s="45"/>
      <c r="G1" s="45"/>
      <c r="H1" s="45"/>
      <c r="I1" s="45"/>
      <c r="J1" s="45"/>
      <c r="K1" s="45"/>
      <c r="L1" s="45"/>
      <c r="M1" s="45"/>
      <c r="N1" s="45"/>
      <c r="O1" s="45"/>
      <c r="P1" s="45"/>
      <c r="Q1" s="45"/>
      <c r="R1" s="45"/>
      <c r="S1" s="45"/>
      <c r="T1" s="45"/>
      <c r="U1" s="45"/>
      <c r="V1" s="45"/>
      <c r="W1" s="45"/>
      <c r="X1" s="45"/>
      <c r="Y1" s="45"/>
    </row>
    <row r="2" spans="2:25" x14ac:dyDescent="0.25">
      <c r="B2" s="110" t="s">
        <v>92</v>
      </c>
      <c r="C2" s="110"/>
    </row>
    <row r="3" spans="2:25" x14ac:dyDescent="0.25">
      <c r="B3" s="111" t="s">
        <v>103</v>
      </c>
      <c r="C3" s="112"/>
    </row>
    <row r="4" spans="2:25" x14ac:dyDescent="0.25">
      <c r="E4" s="113" t="s">
        <v>88</v>
      </c>
      <c r="F4" s="16"/>
      <c r="G4" s="114"/>
      <c r="H4" s="115"/>
      <c r="I4" s="116"/>
      <c r="J4" s="117"/>
      <c r="K4" s="118"/>
      <c r="L4" s="119"/>
      <c r="M4" s="120"/>
      <c r="N4" s="121"/>
      <c r="O4" s="122"/>
      <c r="P4" s="13"/>
      <c r="Q4" s="13"/>
      <c r="R4" s="13"/>
      <c r="T4" s="13"/>
      <c r="U4" s="13"/>
      <c r="V4" s="13"/>
      <c r="W4" s="13"/>
      <c r="X4" s="13"/>
      <c r="Y4" s="13"/>
    </row>
    <row r="5" spans="2:25" x14ac:dyDescent="0.25">
      <c r="B5" s="12" t="s">
        <v>101</v>
      </c>
    </row>
    <row r="6" spans="2:25" x14ac:dyDescent="0.25">
      <c r="B6" s="12" t="s">
        <v>97</v>
      </c>
    </row>
    <row r="7" spans="2:25" x14ac:dyDescent="0.25">
      <c r="B7" s="12" t="s">
        <v>114</v>
      </c>
    </row>
    <row r="8" spans="2:25" x14ac:dyDescent="0.25">
      <c r="B8" s="12" t="s">
        <v>87</v>
      </c>
    </row>
    <row r="9" spans="2:25" x14ac:dyDescent="0.25">
      <c r="B9" s="12" t="s">
        <v>104</v>
      </c>
    </row>
    <row r="10" spans="2:25" x14ac:dyDescent="0.25">
      <c r="B10" s="12" t="s">
        <v>89</v>
      </c>
    </row>
    <row r="11" spans="2:25" x14ac:dyDescent="0.25">
      <c r="B11" s="12" t="s">
        <v>129</v>
      </c>
    </row>
    <row r="12" spans="2:25" x14ac:dyDescent="0.25">
      <c r="B12" s="12" t="s">
        <v>105</v>
      </c>
      <c r="T12" s="13"/>
      <c r="U12" s="13"/>
      <c r="V12" s="13"/>
      <c r="W12" s="13"/>
      <c r="X12" s="13"/>
      <c r="Y12" s="13"/>
    </row>
    <row r="13" spans="2:25" x14ac:dyDescent="0.25">
      <c r="B13" s="111" t="s">
        <v>130</v>
      </c>
      <c r="C13" s="112"/>
    </row>
    <row r="14" spans="2:25" x14ac:dyDescent="0.25">
      <c r="B14" s="111" t="s">
        <v>102</v>
      </c>
      <c r="C14" s="112"/>
    </row>
    <row r="15" spans="2:25" x14ac:dyDescent="0.25">
      <c r="B15" s="123" t="s">
        <v>106</v>
      </c>
      <c r="T15" s="13"/>
      <c r="U15" s="13"/>
      <c r="V15" s="13"/>
      <c r="W15" s="13"/>
      <c r="X15" s="13"/>
      <c r="Y15" s="13"/>
    </row>
    <row r="16" spans="2:25" x14ac:dyDescent="0.25">
      <c r="B16" s="12" t="s">
        <v>131</v>
      </c>
      <c r="T16" s="13"/>
      <c r="U16" s="13"/>
      <c r="V16" s="13"/>
      <c r="W16" s="13"/>
      <c r="X16" s="13"/>
      <c r="Y16" s="13"/>
    </row>
    <row r="17" spans="2:36" x14ac:dyDescent="0.25">
      <c r="B17" s="12" t="s">
        <v>132</v>
      </c>
      <c r="T17" s="13"/>
      <c r="U17" s="13"/>
      <c r="V17" s="13"/>
      <c r="W17" s="13"/>
      <c r="X17" s="13"/>
      <c r="Y17" s="13"/>
    </row>
    <row r="18" spans="2:36" x14ac:dyDescent="0.25">
      <c r="B18" s="12" t="s">
        <v>133</v>
      </c>
      <c r="T18" s="13"/>
      <c r="U18" s="13"/>
      <c r="V18" s="13"/>
      <c r="W18" s="13"/>
      <c r="X18" s="13"/>
      <c r="Y18" s="13"/>
    </row>
    <row r="19" spans="2:36" x14ac:dyDescent="0.25">
      <c r="B19" s="12" t="s">
        <v>134</v>
      </c>
      <c r="T19" s="13"/>
      <c r="U19" s="13"/>
      <c r="V19" s="13"/>
      <c r="W19" s="13"/>
      <c r="X19" s="13"/>
      <c r="Y19" s="13"/>
    </row>
    <row r="20" spans="2:36" x14ac:dyDescent="0.25">
      <c r="B20" s="12" t="s">
        <v>135</v>
      </c>
      <c r="T20" s="13"/>
      <c r="U20" s="13"/>
      <c r="V20" s="13"/>
      <c r="W20" s="13"/>
      <c r="X20" s="13"/>
      <c r="Y20" s="13"/>
    </row>
    <row r="21" spans="2:36" x14ac:dyDescent="0.25">
      <c r="B21" s="107" t="s">
        <v>93</v>
      </c>
      <c r="C21" s="124"/>
    </row>
    <row r="22" spans="2:36" x14ac:dyDescent="0.25">
      <c r="F22" s="125" t="s">
        <v>136</v>
      </c>
      <c r="G22" s="126"/>
      <c r="H22" s="126"/>
      <c r="I22" s="126"/>
      <c r="J22" s="126"/>
      <c r="K22" s="126"/>
      <c r="L22" s="126"/>
      <c r="M22" s="126"/>
      <c r="N22" s="126"/>
      <c r="O22" s="126"/>
      <c r="P22" s="126"/>
      <c r="Q22" s="126"/>
      <c r="R22" s="125" t="s">
        <v>137</v>
      </c>
      <c r="Y22" s="13"/>
    </row>
    <row r="23" spans="2:36" x14ac:dyDescent="0.25">
      <c r="B23" s="64"/>
      <c r="C23" s="127" t="s">
        <v>95</v>
      </c>
      <c r="D23" s="128">
        <v>90</v>
      </c>
      <c r="E23" s="107"/>
      <c r="F23" s="22" t="s">
        <v>138</v>
      </c>
      <c r="R23" s="107" t="s">
        <v>139</v>
      </c>
      <c r="Y23" s="13"/>
    </row>
    <row r="24" spans="2:36" x14ac:dyDescent="0.25">
      <c r="B24" s="129" t="s">
        <v>86</v>
      </c>
      <c r="F24" s="22" t="s">
        <v>140</v>
      </c>
      <c r="R24" s="107" t="s">
        <v>141</v>
      </c>
    </row>
    <row r="25" spans="2:36" x14ac:dyDescent="0.25">
      <c r="D25" s="16" t="s">
        <v>84</v>
      </c>
      <c r="F25" s="22" t="s">
        <v>142</v>
      </c>
      <c r="R25" s="107" t="s">
        <v>143</v>
      </c>
      <c r="U25" s="18"/>
      <c r="AD25" s="14"/>
      <c r="AE25" s="14"/>
      <c r="AF25" s="14"/>
    </row>
    <row r="26" spans="2:36" ht="27.75" customHeight="1" x14ac:dyDescent="0.25">
      <c r="D26" s="19" t="s">
        <v>3</v>
      </c>
      <c r="F26" s="20"/>
      <c r="G26" s="20"/>
      <c r="H26" s="20"/>
      <c r="I26" s="20"/>
      <c r="J26" s="20"/>
      <c r="K26" s="20"/>
      <c r="L26" s="20"/>
      <c r="M26" s="20"/>
      <c r="N26" s="20"/>
      <c r="U26" s="21"/>
      <c r="V26" s="20"/>
      <c r="W26" s="20"/>
      <c r="X26" s="20"/>
      <c r="Y26" s="20"/>
      <c r="AC26" s="20"/>
      <c r="AD26" s="22"/>
      <c r="AE26" s="20"/>
      <c r="AF26" s="20"/>
    </row>
    <row r="27" spans="2:36" x14ac:dyDescent="0.25">
      <c r="C27" s="23" t="s">
        <v>2</v>
      </c>
      <c r="D27" s="93">
        <v>400</v>
      </c>
      <c r="J27" s="130"/>
      <c r="N27" s="131"/>
      <c r="U27" s="18"/>
      <c r="Z27" s="14"/>
      <c r="AA27" s="130"/>
      <c r="AB27" s="14"/>
      <c r="AC27" s="14"/>
      <c r="AD27" s="14"/>
      <c r="AE27" s="131"/>
      <c r="AF27" s="14"/>
      <c r="AG27" s="14"/>
    </row>
    <row r="28" spans="2:36" x14ac:dyDescent="0.25">
      <c r="C28" s="23" t="s">
        <v>25</v>
      </c>
      <c r="D28" s="93">
        <v>30</v>
      </c>
      <c r="J28" s="130"/>
      <c r="L28" s="130" t="s">
        <v>144</v>
      </c>
      <c r="N28" s="131"/>
      <c r="U28" s="17"/>
      <c r="Z28" s="14"/>
      <c r="AA28" s="130"/>
      <c r="AB28" s="14"/>
      <c r="AC28" s="130" t="s">
        <v>144</v>
      </c>
      <c r="AD28" s="14"/>
      <c r="AE28" s="131"/>
      <c r="AF28" s="14"/>
      <c r="AG28" s="14"/>
    </row>
    <row r="29" spans="2:36" x14ac:dyDescent="0.25">
      <c r="C29" s="23" t="s">
        <v>26</v>
      </c>
      <c r="D29" s="25">
        <f>1+D28/100</f>
        <v>1.3</v>
      </c>
      <c r="J29" s="130"/>
      <c r="N29" s="131"/>
      <c r="U29" s="26"/>
      <c r="V29" s="17" t="s">
        <v>85</v>
      </c>
      <c r="Z29" s="14"/>
      <c r="AA29" s="130"/>
      <c r="AB29" s="14"/>
      <c r="AC29" s="14"/>
      <c r="AD29" s="14"/>
      <c r="AE29" s="131"/>
      <c r="AF29" s="14"/>
      <c r="AG29" s="14"/>
    </row>
    <row r="30" spans="2:36" x14ac:dyDescent="0.25">
      <c r="C30" s="23" t="s">
        <v>77</v>
      </c>
      <c r="D30" s="16"/>
      <c r="E30" s="89">
        <v>10</v>
      </c>
      <c r="F30" s="94">
        <f>E30</f>
        <v>10</v>
      </c>
      <c r="G30" s="94">
        <f t="shared" ref="G30:N30" si="0">F30</f>
        <v>10</v>
      </c>
      <c r="H30" s="94">
        <f t="shared" si="0"/>
        <v>10</v>
      </c>
      <c r="I30" s="94">
        <f t="shared" si="0"/>
        <v>10</v>
      </c>
      <c r="J30" s="94">
        <f t="shared" si="0"/>
        <v>10</v>
      </c>
      <c r="K30" s="94">
        <f t="shared" si="0"/>
        <v>10</v>
      </c>
      <c r="L30" s="94">
        <f t="shared" si="0"/>
        <v>10</v>
      </c>
      <c r="M30" s="94">
        <f t="shared" si="0"/>
        <v>10</v>
      </c>
      <c r="N30" s="94">
        <f t="shared" si="0"/>
        <v>10</v>
      </c>
      <c r="U30" s="18"/>
      <c r="V30" s="107" t="s">
        <v>98</v>
      </c>
      <c r="Z30" s="14"/>
      <c r="AA30" s="14"/>
      <c r="AC30" s="15"/>
      <c r="AE30" s="24"/>
      <c r="AF30" s="24"/>
      <c r="AG30" s="24"/>
    </row>
    <row r="31" spans="2:36" x14ac:dyDescent="0.25">
      <c r="C31" s="27"/>
      <c r="D31" s="16"/>
      <c r="E31" s="90"/>
      <c r="F31" s="90"/>
      <c r="G31" s="90"/>
      <c r="H31" s="90"/>
      <c r="I31" s="90"/>
      <c r="J31" s="90"/>
      <c r="K31" s="90"/>
      <c r="L31" s="90"/>
      <c r="M31" s="90"/>
      <c r="N31" s="91"/>
      <c r="U31" s="18"/>
      <c r="Z31" s="14"/>
      <c r="AA31" s="14"/>
      <c r="AC31" s="15"/>
      <c r="AE31" s="24"/>
      <c r="AF31" s="24"/>
      <c r="AG31" s="24"/>
    </row>
    <row r="32" spans="2:36" x14ac:dyDescent="0.25">
      <c r="C32" s="27"/>
      <c r="D32" s="23"/>
      <c r="E32" s="90"/>
      <c r="F32" s="90"/>
      <c r="G32" s="90"/>
      <c r="H32" s="90"/>
      <c r="I32" s="90"/>
      <c r="J32" s="90"/>
      <c r="K32" s="90"/>
      <c r="L32" s="90"/>
      <c r="M32" s="90"/>
      <c r="N32" s="90"/>
      <c r="R32" s="88" t="s">
        <v>90</v>
      </c>
      <c r="S32" s="87"/>
      <c r="U32" s="18"/>
      <c r="Z32" s="14"/>
      <c r="AA32" s="14"/>
      <c r="AC32" s="15"/>
      <c r="AE32" s="24"/>
      <c r="AF32" s="24"/>
      <c r="AG32" s="24"/>
      <c r="AI32" s="88" t="s">
        <v>90</v>
      </c>
      <c r="AJ32" s="87"/>
    </row>
    <row r="33" spans="2:36" ht="12.6" customHeight="1" x14ac:dyDescent="0.25">
      <c r="C33" s="132"/>
      <c r="D33" s="133"/>
      <c r="E33" s="134"/>
      <c r="F33" s="134"/>
      <c r="G33" s="134"/>
      <c r="H33" s="134"/>
      <c r="I33" s="134"/>
      <c r="J33" s="134"/>
      <c r="K33" s="134"/>
      <c r="L33" s="134"/>
      <c r="M33" s="134"/>
      <c r="N33" s="134"/>
      <c r="P33" s="28" t="s">
        <v>2</v>
      </c>
      <c r="R33" s="88" t="s">
        <v>91</v>
      </c>
      <c r="S33" s="87"/>
      <c r="Z33" s="14"/>
      <c r="AA33" s="14"/>
      <c r="AC33" s="15"/>
      <c r="AE33" s="24"/>
      <c r="AF33" s="14"/>
      <c r="AG33" s="28" t="s">
        <v>2</v>
      </c>
      <c r="AI33" s="88" t="s">
        <v>91</v>
      </c>
      <c r="AJ33" s="87"/>
    </row>
    <row r="34" spans="2:36" x14ac:dyDescent="0.25">
      <c r="B34" s="135"/>
      <c r="C34" s="106" t="s">
        <v>4</v>
      </c>
      <c r="D34" s="29"/>
      <c r="E34" s="96">
        <v>475.32667427149573</v>
      </c>
      <c r="F34" s="97">
        <v>498.96096372119013</v>
      </c>
      <c r="G34" s="97"/>
      <c r="H34" s="97"/>
      <c r="I34" s="97"/>
      <c r="J34" s="97"/>
      <c r="K34" s="97"/>
      <c r="L34" s="97"/>
      <c r="M34" s="97"/>
      <c r="N34" s="98"/>
      <c r="O34" s="136"/>
      <c r="P34" s="31">
        <f>AVERAGE(E34:N34)</f>
        <v>487.14381899634293</v>
      </c>
      <c r="R34" s="86">
        <f>COUNT(E34:N34)*(P34-$P$56)^2</f>
        <v>5274.5738772731602</v>
      </c>
      <c r="S34" s="87">
        <f>COUNT(E34:N34)</f>
        <v>2</v>
      </c>
      <c r="U34" s="30"/>
      <c r="V34" s="137">
        <f t="shared" ref="V34:AE53" si="1">100*LN(E34)</f>
        <v>616.40023029614986</v>
      </c>
      <c r="W34" s="138">
        <f t="shared" si="1"/>
        <v>621.25278636758185</v>
      </c>
      <c r="X34" s="138" t="e">
        <f t="shared" si="1"/>
        <v>#NUM!</v>
      </c>
      <c r="Y34" s="138" t="e">
        <f t="shared" si="1"/>
        <v>#NUM!</v>
      </c>
      <c r="Z34" s="138" t="e">
        <f t="shared" si="1"/>
        <v>#NUM!</v>
      </c>
      <c r="AA34" s="138" t="e">
        <f t="shared" si="1"/>
        <v>#NUM!</v>
      </c>
      <c r="AB34" s="138" t="e">
        <f t="shared" si="1"/>
        <v>#NUM!</v>
      </c>
      <c r="AC34" s="138" t="e">
        <f t="shared" si="1"/>
        <v>#NUM!</v>
      </c>
      <c r="AD34" s="138" t="e">
        <f t="shared" si="1"/>
        <v>#NUM!</v>
      </c>
      <c r="AE34" s="139" t="e">
        <f t="shared" si="1"/>
        <v>#NUM!</v>
      </c>
      <c r="AF34" s="30"/>
      <c r="AG34" s="31" t="e">
        <f t="shared" ref="AG34:AG53" si="2">AVERAGE(V34:AE34)</f>
        <v>#NUM!</v>
      </c>
      <c r="AI34" s="86" t="e">
        <f>COUNT(V34:AE34)*(AG34-$AG$56)^2</f>
        <v>#NUM!</v>
      </c>
      <c r="AJ34" s="87">
        <f>COUNT(V34:AE34)</f>
        <v>2</v>
      </c>
    </row>
    <row r="35" spans="2:36" x14ac:dyDescent="0.25">
      <c r="C35" s="105" t="s">
        <v>5</v>
      </c>
      <c r="D35" s="6"/>
      <c r="E35" s="99">
        <v>651.80718660875664</v>
      </c>
      <c r="F35" s="100">
        <v>589.34576302694768</v>
      </c>
      <c r="G35" s="100"/>
      <c r="H35" s="100"/>
      <c r="I35" s="100"/>
      <c r="J35" s="100"/>
      <c r="K35" s="100"/>
      <c r="L35" s="100"/>
      <c r="M35" s="100"/>
      <c r="N35" s="101"/>
      <c r="O35" s="136"/>
      <c r="P35" s="31">
        <f t="shared" ref="P35:P53" si="3">AVERAGE(E35:N35)</f>
        <v>620.57647481785216</v>
      </c>
      <c r="R35" s="86">
        <f t="shared" ref="R35:R53" si="4">COUNT(E35:N35)*(P35-$P$56)^2</f>
        <v>68292.602237719941</v>
      </c>
      <c r="S35" s="87">
        <f t="shared" ref="S35:S53" si="5">COUNT(E35:N35)</f>
        <v>2</v>
      </c>
      <c r="U35" s="30"/>
      <c r="V35" s="140">
        <f t="shared" si="1"/>
        <v>647.97487921308891</v>
      </c>
      <c r="W35" s="141">
        <f t="shared" si="1"/>
        <v>637.90130454161385</v>
      </c>
      <c r="X35" s="141" t="e">
        <f t="shared" si="1"/>
        <v>#NUM!</v>
      </c>
      <c r="Y35" s="141" t="e">
        <f t="shared" si="1"/>
        <v>#NUM!</v>
      </c>
      <c r="Z35" s="141" t="e">
        <f t="shared" si="1"/>
        <v>#NUM!</v>
      </c>
      <c r="AA35" s="141" t="e">
        <f t="shared" si="1"/>
        <v>#NUM!</v>
      </c>
      <c r="AB35" s="141" t="e">
        <f t="shared" si="1"/>
        <v>#NUM!</v>
      </c>
      <c r="AC35" s="141" t="e">
        <f t="shared" si="1"/>
        <v>#NUM!</v>
      </c>
      <c r="AD35" s="141" t="e">
        <f t="shared" si="1"/>
        <v>#NUM!</v>
      </c>
      <c r="AE35" s="142" t="e">
        <f t="shared" si="1"/>
        <v>#NUM!</v>
      </c>
      <c r="AF35" s="30"/>
      <c r="AG35" s="31" t="e">
        <f t="shared" si="2"/>
        <v>#NUM!</v>
      </c>
      <c r="AI35" s="86" t="e">
        <f t="shared" ref="AI35:AI53" si="6">COUNT(V35:AE35)*(AG35-$AG$56)^2</f>
        <v>#NUM!</v>
      </c>
      <c r="AJ35" s="87">
        <f t="shared" ref="AJ35:AJ53" si="7">COUNT(V35:AE35)</f>
        <v>2</v>
      </c>
    </row>
    <row r="36" spans="2:36" x14ac:dyDescent="0.25">
      <c r="C36" s="105" t="s">
        <v>6</v>
      </c>
      <c r="D36" s="6"/>
      <c r="E36" s="99">
        <v>320.64043789170898</v>
      </c>
      <c r="F36" s="100">
        <v>388.9994354818898</v>
      </c>
      <c r="G36" s="100"/>
      <c r="H36" s="100"/>
      <c r="I36" s="100"/>
      <c r="J36" s="100"/>
      <c r="K36" s="100"/>
      <c r="L36" s="100"/>
      <c r="M36" s="100"/>
      <c r="N36" s="101"/>
      <c r="O36" s="136"/>
      <c r="P36" s="31">
        <f t="shared" si="3"/>
        <v>354.81993668679939</v>
      </c>
      <c r="R36" s="86">
        <f t="shared" si="4"/>
        <v>13112.074590161435</v>
      </c>
      <c r="S36" s="87">
        <f t="shared" si="5"/>
        <v>2</v>
      </c>
      <c r="U36" s="30"/>
      <c r="V36" s="140">
        <f t="shared" si="1"/>
        <v>577.03203641357425</v>
      </c>
      <c r="W36" s="141">
        <f t="shared" si="1"/>
        <v>596.35778924140254</v>
      </c>
      <c r="X36" s="141" t="e">
        <f t="shared" si="1"/>
        <v>#NUM!</v>
      </c>
      <c r="Y36" s="141" t="e">
        <f t="shared" si="1"/>
        <v>#NUM!</v>
      </c>
      <c r="Z36" s="141" t="e">
        <f t="shared" si="1"/>
        <v>#NUM!</v>
      </c>
      <c r="AA36" s="141" t="e">
        <f t="shared" si="1"/>
        <v>#NUM!</v>
      </c>
      <c r="AB36" s="141" t="e">
        <f t="shared" si="1"/>
        <v>#NUM!</v>
      </c>
      <c r="AC36" s="141" t="e">
        <f t="shared" si="1"/>
        <v>#NUM!</v>
      </c>
      <c r="AD36" s="141" t="e">
        <f t="shared" si="1"/>
        <v>#NUM!</v>
      </c>
      <c r="AE36" s="142" t="e">
        <f t="shared" si="1"/>
        <v>#NUM!</v>
      </c>
      <c r="AF36" s="30"/>
      <c r="AG36" s="31" t="e">
        <f t="shared" si="2"/>
        <v>#NUM!</v>
      </c>
      <c r="AI36" s="86" t="e">
        <f t="shared" si="6"/>
        <v>#NUM!</v>
      </c>
      <c r="AJ36" s="87">
        <f t="shared" si="7"/>
        <v>2</v>
      </c>
    </row>
    <row r="37" spans="2:36" x14ac:dyDescent="0.25">
      <c r="C37" s="105" t="s">
        <v>7</v>
      </c>
      <c r="D37" s="6"/>
      <c r="E37" s="99">
        <v>385.69722727134308</v>
      </c>
      <c r="F37" s="100">
        <v>356.71910412559561</v>
      </c>
      <c r="G37" s="100"/>
      <c r="H37" s="100"/>
      <c r="I37" s="100"/>
      <c r="J37" s="100"/>
      <c r="K37" s="100"/>
      <c r="L37" s="100"/>
      <c r="M37" s="100"/>
      <c r="N37" s="101"/>
      <c r="O37" s="136"/>
      <c r="P37" s="31">
        <f t="shared" si="3"/>
        <v>371.20816569846932</v>
      </c>
      <c r="R37" s="86">
        <f t="shared" si="4"/>
        <v>8341.4450173233563</v>
      </c>
      <c r="S37" s="87">
        <f t="shared" si="5"/>
        <v>2</v>
      </c>
      <c r="U37" s="30"/>
      <c r="V37" s="140">
        <f t="shared" si="1"/>
        <v>595.50526763663129</v>
      </c>
      <c r="W37" s="141">
        <f t="shared" si="1"/>
        <v>587.69486488942118</v>
      </c>
      <c r="X37" s="141" t="e">
        <f t="shared" si="1"/>
        <v>#NUM!</v>
      </c>
      <c r="Y37" s="141" t="e">
        <f t="shared" si="1"/>
        <v>#NUM!</v>
      </c>
      <c r="Z37" s="141" t="e">
        <f t="shared" si="1"/>
        <v>#NUM!</v>
      </c>
      <c r="AA37" s="141" t="e">
        <f t="shared" si="1"/>
        <v>#NUM!</v>
      </c>
      <c r="AB37" s="141" t="e">
        <f t="shared" si="1"/>
        <v>#NUM!</v>
      </c>
      <c r="AC37" s="141" t="e">
        <f t="shared" si="1"/>
        <v>#NUM!</v>
      </c>
      <c r="AD37" s="141" t="e">
        <f t="shared" si="1"/>
        <v>#NUM!</v>
      </c>
      <c r="AE37" s="142" t="e">
        <f t="shared" si="1"/>
        <v>#NUM!</v>
      </c>
      <c r="AF37" s="30"/>
      <c r="AG37" s="31" t="e">
        <f t="shared" si="2"/>
        <v>#NUM!</v>
      </c>
      <c r="AI37" s="86" t="e">
        <f t="shared" si="6"/>
        <v>#NUM!</v>
      </c>
      <c r="AJ37" s="87">
        <f t="shared" si="7"/>
        <v>2</v>
      </c>
    </row>
    <row r="38" spans="2:36" x14ac:dyDescent="0.25">
      <c r="C38" s="105" t="s">
        <v>8</v>
      </c>
      <c r="D38" s="6"/>
      <c r="E38" s="99">
        <v>485.99541344560203</v>
      </c>
      <c r="F38" s="100">
        <v>511.85887279444057</v>
      </c>
      <c r="G38" s="100"/>
      <c r="H38" s="100"/>
      <c r="I38" s="100"/>
      <c r="J38" s="100"/>
      <c r="K38" s="100"/>
      <c r="L38" s="100"/>
      <c r="M38" s="100"/>
      <c r="N38" s="101"/>
      <c r="O38" s="136"/>
      <c r="P38" s="31">
        <f t="shared" si="3"/>
        <v>498.9271431200213</v>
      </c>
      <c r="R38" s="86">
        <f t="shared" si="4"/>
        <v>7972.7752478836346</v>
      </c>
      <c r="S38" s="87">
        <f t="shared" si="5"/>
        <v>2</v>
      </c>
      <c r="U38" s="30"/>
      <c r="V38" s="140">
        <f t="shared" si="1"/>
        <v>618.61991865012328</v>
      </c>
      <c r="W38" s="141">
        <f t="shared" si="1"/>
        <v>623.80489479707182</v>
      </c>
      <c r="X38" s="141" t="e">
        <f t="shared" si="1"/>
        <v>#NUM!</v>
      </c>
      <c r="Y38" s="141" t="e">
        <f t="shared" si="1"/>
        <v>#NUM!</v>
      </c>
      <c r="Z38" s="141" t="e">
        <f t="shared" si="1"/>
        <v>#NUM!</v>
      </c>
      <c r="AA38" s="141" t="e">
        <f t="shared" si="1"/>
        <v>#NUM!</v>
      </c>
      <c r="AB38" s="141" t="e">
        <f t="shared" si="1"/>
        <v>#NUM!</v>
      </c>
      <c r="AC38" s="141" t="e">
        <f t="shared" si="1"/>
        <v>#NUM!</v>
      </c>
      <c r="AD38" s="141" t="e">
        <f t="shared" si="1"/>
        <v>#NUM!</v>
      </c>
      <c r="AE38" s="142" t="e">
        <f t="shared" si="1"/>
        <v>#NUM!</v>
      </c>
      <c r="AF38" s="30"/>
      <c r="AG38" s="31" t="e">
        <f t="shared" si="2"/>
        <v>#NUM!</v>
      </c>
      <c r="AI38" s="86" t="e">
        <f t="shared" si="6"/>
        <v>#NUM!</v>
      </c>
      <c r="AJ38" s="87">
        <f t="shared" si="7"/>
        <v>2</v>
      </c>
    </row>
    <row r="39" spans="2:36" x14ac:dyDescent="0.25">
      <c r="C39" s="105" t="s">
        <v>9</v>
      </c>
      <c r="D39" s="6"/>
      <c r="E39" s="99">
        <v>512.58382627839433</v>
      </c>
      <c r="F39" s="100">
        <v>549.99042530787949</v>
      </c>
      <c r="G39" s="100"/>
      <c r="H39" s="100"/>
      <c r="I39" s="100"/>
      <c r="J39" s="100"/>
      <c r="K39" s="100"/>
      <c r="L39" s="100"/>
      <c r="M39" s="100"/>
      <c r="N39" s="101"/>
      <c r="O39" s="136"/>
      <c r="P39" s="31">
        <f t="shared" si="3"/>
        <v>531.28712579313697</v>
      </c>
      <c r="R39" s="86">
        <f t="shared" si="4"/>
        <v>18239.670642487898</v>
      </c>
      <c r="S39" s="87">
        <f t="shared" si="5"/>
        <v>2</v>
      </c>
      <c r="U39" s="30"/>
      <c r="V39" s="140">
        <f t="shared" si="1"/>
        <v>623.94642611075551</v>
      </c>
      <c r="W39" s="141">
        <f t="shared" si="1"/>
        <v>630.99008695438579</v>
      </c>
      <c r="X39" s="141" t="e">
        <f t="shared" si="1"/>
        <v>#NUM!</v>
      </c>
      <c r="Y39" s="141" t="e">
        <f t="shared" si="1"/>
        <v>#NUM!</v>
      </c>
      <c r="Z39" s="141" t="e">
        <f t="shared" si="1"/>
        <v>#NUM!</v>
      </c>
      <c r="AA39" s="141" t="e">
        <f t="shared" si="1"/>
        <v>#NUM!</v>
      </c>
      <c r="AB39" s="141" t="e">
        <f t="shared" si="1"/>
        <v>#NUM!</v>
      </c>
      <c r="AC39" s="141" t="e">
        <f t="shared" si="1"/>
        <v>#NUM!</v>
      </c>
      <c r="AD39" s="141" t="e">
        <f t="shared" si="1"/>
        <v>#NUM!</v>
      </c>
      <c r="AE39" s="142" t="e">
        <f t="shared" si="1"/>
        <v>#NUM!</v>
      </c>
      <c r="AF39" s="30"/>
      <c r="AG39" s="31" t="e">
        <f t="shared" si="2"/>
        <v>#NUM!</v>
      </c>
      <c r="AI39" s="86" t="e">
        <f t="shared" si="6"/>
        <v>#NUM!</v>
      </c>
      <c r="AJ39" s="87">
        <f t="shared" si="7"/>
        <v>2</v>
      </c>
    </row>
    <row r="40" spans="2:36" x14ac:dyDescent="0.25">
      <c r="C40" s="105" t="s">
        <v>10</v>
      </c>
      <c r="D40" s="6"/>
      <c r="E40" s="99">
        <v>382.82949687036336</v>
      </c>
      <c r="F40" s="100">
        <v>462.19491994197648</v>
      </c>
      <c r="G40" s="100">
        <v>439.00546111357272</v>
      </c>
      <c r="H40" s="100">
        <v>481.68581731986257</v>
      </c>
      <c r="I40" s="100">
        <v>640.14876215065715</v>
      </c>
      <c r="J40" s="100"/>
      <c r="K40" s="100"/>
      <c r="L40" s="100"/>
      <c r="M40" s="100"/>
      <c r="N40" s="101"/>
      <c r="O40" s="136"/>
      <c r="P40" s="31">
        <f t="shared" si="3"/>
        <v>481.17289147928642</v>
      </c>
      <c r="R40" s="86">
        <f t="shared" si="4"/>
        <v>10298.353279792867</v>
      </c>
      <c r="S40" s="87">
        <f t="shared" si="5"/>
        <v>5</v>
      </c>
      <c r="U40" s="30"/>
      <c r="V40" s="140">
        <f t="shared" si="1"/>
        <v>594.75897121753837</v>
      </c>
      <c r="W40" s="141">
        <f t="shared" si="1"/>
        <v>613.59867067413165</v>
      </c>
      <c r="X40" s="141">
        <f t="shared" si="1"/>
        <v>608.45118528920398</v>
      </c>
      <c r="Y40" s="141">
        <f t="shared" si="1"/>
        <v>617.72920702296324</v>
      </c>
      <c r="Z40" s="141">
        <f t="shared" si="1"/>
        <v>646.17005902039284</v>
      </c>
      <c r="AA40" s="141" t="e">
        <f t="shared" si="1"/>
        <v>#NUM!</v>
      </c>
      <c r="AB40" s="141" t="e">
        <f t="shared" si="1"/>
        <v>#NUM!</v>
      </c>
      <c r="AC40" s="141" t="e">
        <f t="shared" si="1"/>
        <v>#NUM!</v>
      </c>
      <c r="AD40" s="141" t="e">
        <f t="shared" si="1"/>
        <v>#NUM!</v>
      </c>
      <c r="AE40" s="142" t="e">
        <f t="shared" si="1"/>
        <v>#NUM!</v>
      </c>
      <c r="AF40" s="30"/>
      <c r="AG40" s="31" t="e">
        <f t="shared" si="2"/>
        <v>#NUM!</v>
      </c>
      <c r="AI40" s="86" t="e">
        <f t="shared" si="6"/>
        <v>#NUM!</v>
      </c>
      <c r="AJ40" s="87">
        <f t="shared" si="7"/>
        <v>5</v>
      </c>
    </row>
    <row r="41" spans="2:36" x14ac:dyDescent="0.25">
      <c r="C41" s="105" t="s">
        <v>11</v>
      </c>
      <c r="D41" s="6"/>
      <c r="E41" s="99">
        <v>557.19808171051068</v>
      </c>
      <c r="F41" s="100">
        <v>470.53667906325109</v>
      </c>
      <c r="G41" s="100">
        <v>401.26481544339458</v>
      </c>
      <c r="H41" s="100">
        <v>456.02768656272963</v>
      </c>
      <c r="I41" s="100">
        <v>465.30671418037213</v>
      </c>
      <c r="J41" s="100"/>
      <c r="K41" s="100"/>
      <c r="L41" s="100"/>
      <c r="M41" s="100"/>
      <c r="N41" s="101"/>
      <c r="O41" s="136"/>
      <c r="P41" s="31">
        <f t="shared" si="3"/>
        <v>470.06679539205163</v>
      </c>
      <c r="R41" s="86">
        <f t="shared" si="4"/>
        <v>5874.7345106679259</v>
      </c>
      <c r="S41" s="87">
        <f t="shared" si="5"/>
        <v>5</v>
      </c>
      <c r="U41" s="30"/>
      <c r="V41" s="140">
        <f t="shared" si="1"/>
        <v>632.2920799169126</v>
      </c>
      <c r="W41" s="141">
        <f t="shared" si="1"/>
        <v>615.38739136133597</v>
      </c>
      <c r="X41" s="141">
        <f t="shared" si="1"/>
        <v>599.46215969859941</v>
      </c>
      <c r="Y41" s="141">
        <f t="shared" si="1"/>
        <v>612.25535238175723</v>
      </c>
      <c r="Z41" s="141">
        <f t="shared" si="1"/>
        <v>614.26967885345277</v>
      </c>
      <c r="AA41" s="141" t="e">
        <f t="shared" si="1"/>
        <v>#NUM!</v>
      </c>
      <c r="AB41" s="141" t="e">
        <f t="shared" si="1"/>
        <v>#NUM!</v>
      </c>
      <c r="AC41" s="141" t="e">
        <f t="shared" si="1"/>
        <v>#NUM!</v>
      </c>
      <c r="AD41" s="141" t="e">
        <f t="shared" si="1"/>
        <v>#NUM!</v>
      </c>
      <c r="AE41" s="142" t="e">
        <f t="shared" si="1"/>
        <v>#NUM!</v>
      </c>
      <c r="AF41" s="30"/>
      <c r="AG41" s="31" t="e">
        <f t="shared" si="2"/>
        <v>#NUM!</v>
      </c>
      <c r="AI41" s="86" t="e">
        <f t="shared" si="6"/>
        <v>#NUM!</v>
      </c>
      <c r="AJ41" s="87">
        <f t="shared" si="7"/>
        <v>5</v>
      </c>
    </row>
    <row r="42" spans="2:36" x14ac:dyDescent="0.25">
      <c r="C42" s="105" t="s">
        <v>12</v>
      </c>
      <c r="D42" s="6"/>
      <c r="E42" s="99">
        <v>397.8174013059176</v>
      </c>
      <c r="F42" s="100">
        <v>374.1521169784686</v>
      </c>
      <c r="G42" s="100">
        <v>305.21957765792075</v>
      </c>
      <c r="H42" s="100">
        <v>397.7294356931904</v>
      </c>
      <c r="I42" s="100">
        <v>335.30808608831637</v>
      </c>
      <c r="J42" s="100"/>
      <c r="K42" s="100"/>
      <c r="L42" s="100"/>
      <c r="M42" s="100"/>
      <c r="N42" s="101"/>
      <c r="O42" s="136"/>
      <c r="P42" s="31">
        <f t="shared" si="3"/>
        <v>362.04532354476277</v>
      </c>
      <c r="R42" s="86">
        <f t="shared" si="4"/>
        <v>27190.868039039229</v>
      </c>
      <c r="S42" s="87">
        <f t="shared" si="5"/>
        <v>5</v>
      </c>
      <c r="U42" s="30"/>
      <c r="V42" s="140">
        <f t="shared" si="1"/>
        <v>598.59931093191392</v>
      </c>
      <c r="W42" s="141">
        <f t="shared" si="1"/>
        <v>592.4662444611306</v>
      </c>
      <c r="X42" s="141">
        <f t="shared" si="1"/>
        <v>572.10314443317429</v>
      </c>
      <c r="Y42" s="141">
        <f t="shared" si="1"/>
        <v>598.57719642928635</v>
      </c>
      <c r="Z42" s="141">
        <f t="shared" si="1"/>
        <v>581.50497691620603</v>
      </c>
      <c r="AA42" s="141" t="e">
        <f t="shared" si="1"/>
        <v>#NUM!</v>
      </c>
      <c r="AB42" s="141" t="e">
        <f t="shared" si="1"/>
        <v>#NUM!</v>
      </c>
      <c r="AC42" s="141" t="e">
        <f t="shared" si="1"/>
        <v>#NUM!</v>
      </c>
      <c r="AD42" s="141" t="e">
        <f t="shared" si="1"/>
        <v>#NUM!</v>
      </c>
      <c r="AE42" s="142" t="e">
        <f t="shared" si="1"/>
        <v>#NUM!</v>
      </c>
      <c r="AF42" s="30"/>
      <c r="AG42" s="31" t="e">
        <f t="shared" si="2"/>
        <v>#NUM!</v>
      </c>
      <c r="AI42" s="86" t="e">
        <f t="shared" si="6"/>
        <v>#NUM!</v>
      </c>
      <c r="AJ42" s="87">
        <f t="shared" si="7"/>
        <v>5</v>
      </c>
    </row>
    <row r="43" spans="2:36" x14ac:dyDescent="0.25">
      <c r="C43" s="105" t="s">
        <v>13</v>
      </c>
      <c r="D43" s="6"/>
      <c r="E43" s="99">
        <v>819.70211089506711</v>
      </c>
      <c r="F43" s="100">
        <v>696.59997055858105</v>
      </c>
      <c r="G43" s="100">
        <v>636.84102388508654</v>
      </c>
      <c r="H43" s="100">
        <v>738.02815088472062</v>
      </c>
      <c r="I43" s="100">
        <v>758.22047139134395</v>
      </c>
      <c r="J43" s="100"/>
      <c r="K43" s="100"/>
      <c r="L43" s="100"/>
      <c r="M43" s="100"/>
      <c r="N43" s="101"/>
      <c r="O43" s="136"/>
      <c r="P43" s="31">
        <f t="shared" si="3"/>
        <v>729.87834552295976</v>
      </c>
      <c r="R43" s="86">
        <f t="shared" si="4"/>
        <v>432441.84256808541</v>
      </c>
      <c r="S43" s="87">
        <f t="shared" si="5"/>
        <v>5</v>
      </c>
      <c r="U43" s="30"/>
      <c r="V43" s="140">
        <f t="shared" si="1"/>
        <v>670.8940994860094</v>
      </c>
      <c r="W43" s="141">
        <f t="shared" si="1"/>
        <v>654.62113156674457</v>
      </c>
      <c r="X43" s="141">
        <f t="shared" si="1"/>
        <v>645.65200543852677</v>
      </c>
      <c r="Y43" s="141">
        <f t="shared" si="1"/>
        <v>660.39819687032218</v>
      </c>
      <c r="Z43" s="141">
        <f t="shared" si="1"/>
        <v>663.09742027063248</v>
      </c>
      <c r="AA43" s="141" t="e">
        <f t="shared" si="1"/>
        <v>#NUM!</v>
      </c>
      <c r="AB43" s="141" t="e">
        <f t="shared" si="1"/>
        <v>#NUM!</v>
      </c>
      <c r="AC43" s="141" t="e">
        <f t="shared" si="1"/>
        <v>#NUM!</v>
      </c>
      <c r="AD43" s="141" t="e">
        <f t="shared" si="1"/>
        <v>#NUM!</v>
      </c>
      <c r="AE43" s="142" t="e">
        <f t="shared" si="1"/>
        <v>#NUM!</v>
      </c>
      <c r="AF43" s="30"/>
      <c r="AG43" s="31" t="e">
        <f t="shared" si="2"/>
        <v>#NUM!</v>
      </c>
      <c r="AI43" s="86" t="e">
        <f t="shared" si="6"/>
        <v>#NUM!</v>
      </c>
      <c r="AJ43" s="87">
        <f t="shared" si="7"/>
        <v>5</v>
      </c>
    </row>
    <row r="44" spans="2:36" x14ac:dyDescent="0.25">
      <c r="C44" s="105" t="s">
        <v>14</v>
      </c>
      <c r="D44" s="6"/>
      <c r="E44" s="99">
        <v>433.57928943384536</v>
      </c>
      <c r="F44" s="100">
        <v>438.49087670819864</v>
      </c>
      <c r="G44" s="100">
        <v>336.87598329006323</v>
      </c>
      <c r="H44" s="100">
        <v>418.24559268320269</v>
      </c>
      <c r="I44" s="100">
        <v>438.65041357454646</v>
      </c>
      <c r="J44" s="100"/>
      <c r="K44" s="100"/>
      <c r="L44" s="100"/>
      <c r="M44" s="100"/>
      <c r="N44" s="101"/>
      <c r="O44" s="136"/>
      <c r="P44" s="31">
        <f t="shared" si="3"/>
        <v>413.1684311379712</v>
      </c>
      <c r="R44" s="86">
        <f t="shared" si="4"/>
        <v>2558.5178415571436</v>
      </c>
      <c r="S44" s="87">
        <f t="shared" si="5"/>
        <v>5</v>
      </c>
      <c r="U44" s="30"/>
      <c r="V44" s="140">
        <f t="shared" si="1"/>
        <v>607.20746847638532</v>
      </c>
      <c r="W44" s="141">
        <f t="shared" si="1"/>
        <v>608.33390059132398</v>
      </c>
      <c r="X44" s="141">
        <f t="shared" si="1"/>
        <v>581.97148605163318</v>
      </c>
      <c r="Y44" s="141">
        <f t="shared" si="1"/>
        <v>603.60688022936677</v>
      </c>
      <c r="Z44" s="141">
        <f t="shared" si="1"/>
        <v>608.3702771408889</v>
      </c>
      <c r="AA44" s="141" t="e">
        <f t="shared" si="1"/>
        <v>#NUM!</v>
      </c>
      <c r="AB44" s="141" t="e">
        <f t="shared" si="1"/>
        <v>#NUM!</v>
      </c>
      <c r="AC44" s="141" t="e">
        <f t="shared" si="1"/>
        <v>#NUM!</v>
      </c>
      <c r="AD44" s="141" t="e">
        <f t="shared" si="1"/>
        <v>#NUM!</v>
      </c>
      <c r="AE44" s="142" t="e">
        <f t="shared" si="1"/>
        <v>#NUM!</v>
      </c>
      <c r="AF44" s="30"/>
      <c r="AG44" s="31" t="e">
        <f t="shared" si="2"/>
        <v>#NUM!</v>
      </c>
      <c r="AI44" s="86" t="e">
        <f t="shared" si="6"/>
        <v>#NUM!</v>
      </c>
      <c r="AJ44" s="87">
        <f t="shared" si="7"/>
        <v>5</v>
      </c>
    </row>
    <row r="45" spans="2:36" x14ac:dyDescent="0.25">
      <c r="C45" s="105" t="s">
        <v>15</v>
      </c>
      <c r="D45" s="6"/>
      <c r="E45" s="99">
        <v>371.32223850460889</v>
      </c>
      <c r="F45" s="100">
        <v>344.21922254034251</v>
      </c>
      <c r="G45" s="100">
        <v>360.70406139588107</v>
      </c>
      <c r="H45" s="100">
        <v>363.87887008461479</v>
      </c>
      <c r="I45" s="100">
        <v>377.10249974704601</v>
      </c>
      <c r="J45" s="100"/>
      <c r="K45" s="100"/>
      <c r="L45" s="100"/>
      <c r="M45" s="100"/>
      <c r="N45" s="101"/>
      <c r="O45" s="136"/>
      <c r="P45" s="31">
        <f t="shared" si="3"/>
        <v>363.44537845449867</v>
      </c>
      <c r="R45" s="86">
        <f t="shared" si="4"/>
        <v>26168.212688045351</v>
      </c>
      <c r="S45" s="87">
        <f t="shared" si="5"/>
        <v>5</v>
      </c>
      <c r="U45" s="30"/>
      <c r="V45" s="140">
        <f t="shared" si="1"/>
        <v>591.70702530189169</v>
      </c>
      <c r="W45" s="141">
        <f t="shared" si="1"/>
        <v>584.12787292266012</v>
      </c>
      <c r="X45" s="141">
        <f t="shared" si="1"/>
        <v>588.80578476073481</v>
      </c>
      <c r="Y45" s="141">
        <f t="shared" si="1"/>
        <v>589.68210377622063</v>
      </c>
      <c r="Z45" s="141">
        <f t="shared" si="1"/>
        <v>593.2517033112789</v>
      </c>
      <c r="AA45" s="141" t="e">
        <f t="shared" si="1"/>
        <v>#NUM!</v>
      </c>
      <c r="AB45" s="141" t="e">
        <f t="shared" si="1"/>
        <v>#NUM!</v>
      </c>
      <c r="AC45" s="141" t="e">
        <f t="shared" si="1"/>
        <v>#NUM!</v>
      </c>
      <c r="AD45" s="141" t="e">
        <f t="shared" si="1"/>
        <v>#NUM!</v>
      </c>
      <c r="AE45" s="142" t="e">
        <f t="shared" si="1"/>
        <v>#NUM!</v>
      </c>
      <c r="AF45" s="30"/>
      <c r="AG45" s="31" t="e">
        <f t="shared" si="2"/>
        <v>#NUM!</v>
      </c>
      <c r="AI45" s="86" t="e">
        <f t="shared" si="6"/>
        <v>#NUM!</v>
      </c>
      <c r="AJ45" s="87">
        <f t="shared" si="7"/>
        <v>5</v>
      </c>
    </row>
    <row r="46" spans="2:36" x14ac:dyDescent="0.25">
      <c r="C46" s="105" t="s">
        <v>16</v>
      </c>
      <c r="D46" s="6"/>
      <c r="E46" s="99">
        <v>538.52150430516872</v>
      </c>
      <c r="F46" s="100">
        <v>511.39108401823421</v>
      </c>
      <c r="G46" s="100">
        <v>431.69228656815437</v>
      </c>
      <c r="H46" s="100">
        <v>393.06171903373519</v>
      </c>
      <c r="I46" s="100">
        <v>399.40846170893167</v>
      </c>
      <c r="J46" s="100">
        <v>434.96320648046452</v>
      </c>
      <c r="K46" s="100"/>
      <c r="L46" s="100"/>
      <c r="M46" s="100"/>
      <c r="N46" s="101"/>
      <c r="O46" s="136"/>
      <c r="P46" s="31">
        <f t="shared" si="3"/>
        <v>451.50637701911478</v>
      </c>
      <c r="R46" s="86">
        <f t="shared" si="4"/>
        <v>1482.1596427908939</v>
      </c>
      <c r="S46" s="87">
        <f t="shared" si="5"/>
        <v>6</v>
      </c>
      <c r="U46" s="30"/>
      <c r="V46" s="140">
        <f t="shared" si="1"/>
        <v>628.88274295134477</v>
      </c>
      <c r="W46" s="141">
        <f t="shared" si="1"/>
        <v>623.71346282472132</v>
      </c>
      <c r="X46" s="141">
        <f t="shared" si="1"/>
        <v>606.77130348274579</v>
      </c>
      <c r="Y46" s="141">
        <f t="shared" si="1"/>
        <v>597.39666454262135</v>
      </c>
      <c r="Z46" s="141">
        <f t="shared" si="1"/>
        <v>598.99846068087004</v>
      </c>
      <c r="AA46" s="141">
        <f t="shared" si="1"/>
        <v>607.5261444707827</v>
      </c>
      <c r="AB46" s="141" t="e">
        <f t="shared" si="1"/>
        <v>#NUM!</v>
      </c>
      <c r="AC46" s="141" t="e">
        <f t="shared" si="1"/>
        <v>#NUM!</v>
      </c>
      <c r="AD46" s="141" t="e">
        <f t="shared" si="1"/>
        <v>#NUM!</v>
      </c>
      <c r="AE46" s="142" t="e">
        <f t="shared" si="1"/>
        <v>#NUM!</v>
      </c>
      <c r="AF46" s="30"/>
      <c r="AG46" s="31" t="e">
        <f t="shared" si="2"/>
        <v>#NUM!</v>
      </c>
      <c r="AI46" s="86" t="e">
        <f t="shared" si="6"/>
        <v>#NUM!</v>
      </c>
      <c r="AJ46" s="87">
        <f t="shared" si="7"/>
        <v>6</v>
      </c>
    </row>
    <row r="47" spans="2:36" x14ac:dyDescent="0.25">
      <c r="C47" s="105" t="s">
        <v>17</v>
      </c>
      <c r="D47" s="6"/>
      <c r="E47" s="99">
        <v>413.1992047488161</v>
      </c>
      <c r="F47" s="100">
        <v>486.78150971415977</v>
      </c>
      <c r="G47" s="100">
        <v>433.98754218539904</v>
      </c>
      <c r="H47" s="100">
        <v>444.94469014311164</v>
      </c>
      <c r="I47" s="100">
        <v>385.39716794374999</v>
      </c>
      <c r="J47" s="100">
        <v>408.78592671566179</v>
      </c>
      <c r="K47" s="100"/>
      <c r="L47" s="100"/>
      <c r="M47" s="100"/>
      <c r="N47" s="101"/>
      <c r="O47" s="136"/>
      <c r="P47" s="31">
        <f t="shared" si="3"/>
        <v>428.84934024181638</v>
      </c>
      <c r="R47" s="86">
        <f t="shared" si="4"/>
        <v>288.97799140254847</v>
      </c>
      <c r="S47" s="87">
        <f t="shared" si="5"/>
        <v>6</v>
      </c>
      <c r="U47" s="30"/>
      <c r="V47" s="140">
        <f t="shared" si="1"/>
        <v>602.3929812627988</v>
      </c>
      <c r="W47" s="141">
        <f t="shared" si="1"/>
        <v>618.78153770603512</v>
      </c>
      <c r="X47" s="141">
        <f t="shared" si="1"/>
        <v>607.30158290464806</v>
      </c>
      <c r="Y47" s="141">
        <f t="shared" si="1"/>
        <v>609.79499826281403</v>
      </c>
      <c r="Z47" s="141">
        <f t="shared" si="1"/>
        <v>595.42744075976623</v>
      </c>
      <c r="AA47" s="141">
        <f t="shared" si="1"/>
        <v>601.31916124545967</v>
      </c>
      <c r="AB47" s="141" t="e">
        <f t="shared" si="1"/>
        <v>#NUM!</v>
      </c>
      <c r="AC47" s="141" t="e">
        <f t="shared" si="1"/>
        <v>#NUM!</v>
      </c>
      <c r="AD47" s="141" t="e">
        <f t="shared" si="1"/>
        <v>#NUM!</v>
      </c>
      <c r="AE47" s="142" t="e">
        <f t="shared" si="1"/>
        <v>#NUM!</v>
      </c>
      <c r="AF47" s="30"/>
      <c r="AG47" s="31" t="e">
        <f t="shared" si="2"/>
        <v>#NUM!</v>
      </c>
      <c r="AI47" s="86" t="e">
        <f t="shared" si="6"/>
        <v>#NUM!</v>
      </c>
      <c r="AJ47" s="87">
        <f t="shared" si="7"/>
        <v>6</v>
      </c>
    </row>
    <row r="48" spans="2:36" x14ac:dyDescent="0.25">
      <c r="C48" s="105" t="s">
        <v>18</v>
      </c>
      <c r="D48" s="6"/>
      <c r="E48" s="99">
        <v>556.95340413485917</v>
      </c>
      <c r="F48" s="100">
        <v>513.63080360087929</v>
      </c>
      <c r="G48" s="100">
        <v>541.56208400952914</v>
      </c>
      <c r="H48" s="100">
        <v>633.49136571557835</v>
      </c>
      <c r="I48" s="100">
        <v>626.15003979730523</v>
      </c>
      <c r="J48" s="100">
        <v>531.59913621465432</v>
      </c>
      <c r="K48" s="100"/>
      <c r="L48" s="100"/>
      <c r="M48" s="100"/>
      <c r="N48" s="101"/>
      <c r="O48" s="136"/>
      <c r="P48" s="31">
        <f t="shared" si="3"/>
        <v>567.23113891213416</v>
      </c>
      <c r="R48" s="86">
        <f t="shared" si="4"/>
        <v>103661.74697225384</v>
      </c>
      <c r="S48" s="87">
        <f t="shared" si="5"/>
        <v>6</v>
      </c>
      <c r="U48" s="30"/>
      <c r="V48" s="140">
        <f t="shared" si="1"/>
        <v>632.24815813738917</v>
      </c>
      <c r="W48" s="141">
        <f t="shared" si="1"/>
        <v>624.15047264356815</v>
      </c>
      <c r="X48" s="141">
        <f t="shared" si="1"/>
        <v>629.44577117795052</v>
      </c>
      <c r="Y48" s="141">
        <f t="shared" si="1"/>
        <v>645.12463701743548</v>
      </c>
      <c r="Z48" s="141">
        <f t="shared" si="1"/>
        <v>643.95900225687797</v>
      </c>
      <c r="AA48" s="141">
        <f t="shared" si="1"/>
        <v>627.58897019593917</v>
      </c>
      <c r="AB48" s="141" t="e">
        <f t="shared" si="1"/>
        <v>#NUM!</v>
      </c>
      <c r="AC48" s="141" t="e">
        <f t="shared" si="1"/>
        <v>#NUM!</v>
      </c>
      <c r="AD48" s="141" t="e">
        <f t="shared" si="1"/>
        <v>#NUM!</v>
      </c>
      <c r="AE48" s="142" t="e">
        <f t="shared" si="1"/>
        <v>#NUM!</v>
      </c>
      <c r="AF48" s="30"/>
      <c r="AG48" s="31" t="e">
        <f t="shared" si="2"/>
        <v>#NUM!</v>
      </c>
      <c r="AI48" s="86" t="e">
        <f t="shared" si="6"/>
        <v>#NUM!</v>
      </c>
      <c r="AJ48" s="87">
        <f t="shared" si="7"/>
        <v>6</v>
      </c>
    </row>
    <row r="49" spans="3:36" x14ac:dyDescent="0.25">
      <c r="C49" s="105" t="s">
        <v>19</v>
      </c>
      <c r="D49" s="6"/>
      <c r="E49" s="99">
        <v>316.89839004473288</v>
      </c>
      <c r="F49" s="100">
        <v>279.93388890001791</v>
      </c>
      <c r="G49" s="100">
        <v>291.43907001698881</v>
      </c>
      <c r="H49" s="100">
        <v>292.08938694681126</v>
      </c>
      <c r="I49" s="100">
        <v>298.55637470018604</v>
      </c>
      <c r="J49" s="100">
        <v>258.44743806062189</v>
      </c>
      <c r="K49" s="100"/>
      <c r="L49" s="100"/>
      <c r="M49" s="100"/>
      <c r="N49" s="101"/>
      <c r="O49" s="136"/>
      <c r="P49" s="31">
        <f t="shared" si="3"/>
        <v>289.56075811155978</v>
      </c>
      <c r="R49" s="86">
        <f t="shared" si="4"/>
        <v>128296.71335613016</v>
      </c>
      <c r="S49" s="87">
        <f t="shared" si="5"/>
        <v>6</v>
      </c>
      <c r="U49" s="30"/>
      <c r="V49" s="140">
        <f t="shared" si="1"/>
        <v>575.85811863581034</v>
      </c>
      <c r="W49" s="141">
        <f t="shared" si="1"/>
        <v>563.45534642192774</v>
      </c>
      <c r="X49" s="141">
        <f t="shared" si="1"/>
        <v>567.48309617021789</v>
      </c>
      <c r="Y49" s="141">
        <f t="shared" si="1"/>
        <v>567.70598751040723</v>
      </c>
      <c r="Z49" s="141">
        <f t="shared" si="1"/>
        <v>569.89587749679811</v>
      </c>
      <c r="AA49" s="141">
        <f t="shared" si="1"/>
        <v>555.46923388849348</v>
      </c>
      <c r="AB49" s="141" t="e">
        <f t="shared" si="1"/>
        <v>#NUM!</v>
      </c>
      <c r="AC49" s="141" t="e">
        <f t="shared" si="1"/>
        <v>#NUM!</v>
      </c>
      <c r="AD49" s="141" t="e">
        <f t="shared" si="1"/>
        <v>#NUM!</v>
      </c>
      <c r="AE49" s="142" t="e">
        <f t="shared" si="1"/>
        <v>#NUM!</v>
      </c>
      <c r="AF49" s="30"/>
      <c r="AG49" s="31" t="e">
        <f t="shared" si="2"/>
        <v>#NUM!</v>
      </c>
      <c r="AI49" s="86" t="e">
        <f t="shared" si="6"/>
        <v>#NUM!</v>
      </c>
      <c r="AJ49" s="87">
        <f t="shared" si="7"/>
        <v>6</v>
      </c>
    </row>
    <row r="50" spans="3:36" x14ac:dyDescent="0.25">
      <c r="C50" s="105" t="s">
        <v>20</v>
      </c>
      <c r="D50" s="6"/>
      <c r="E50" s="99">
        <v>439.27428960093374</v>
      </c>
      <c r="F50" s="100">
        <v>399.83619734658271</v>
      </c>
      <c r="G50" s="100">
        <v>376.18986011140521</v>
      </c>
      <c r="H50" s="100">
        <v>465.38771664652137</v>
      </c>
      <c r="I50" s="100">
        <v>374.99979796285737</v>
      </c>
      <c r="J50" s="100">
        <v>371.22254616958759</v>
      </c>
      <c r="K50" s="100"/>
      <c r="L50" s="100"/>
      <c r="M50" s="100"/>
      <c r="N50" s="101"/>
      <c r="O50" s="136"/>
      <c r="P50" s="31">
        <f t="shared" si="3"/>
        <v>404.48506797298131</v>
      </c>
      <c r="R50" s="86">
        <f t="shared" si="4"/>
        <v>5879.7284963406428</v>
      </c>
      <c r="S50" s="87">
        <f t="shared" si="5"/>
        <v>6</v>
      </c>
      <c r="U50" s="30"/>
      <c r="V50" s="140">
        <f t="shared" si="1"/>
        <v>608.51240234345983</v>
      </c>
      <c r="W50" s="141">
        <f t="shared" si="1"/>
        <v>599.10549566036991</v>
      </c>
      <c r="X50" s="141">
        <f t="shared" si="1"/>
        <v>593.00939630518053</v>
      </c>
      <c r="Y50" s="141">
        <f t="shared" si="1"/>
        <v>614.2870857409705</v>
      </c>
      <c r="Z50" s="141">
        <f t="shared" si="1"/>
        <v>592.69254872045519</v>
      </c>
      <c r="AA50" s="141">
        <f t="shared" si="1"/>
        <v>591.68017376709463</v>
      </c>
      <c r="AB50" s="141" t="e">
        <f t="shared" si="1"/>
        <v>#NUM!</v>
      </c>
      <c r="AC50" s="141" t="e">
        <f t="shared" si="1"/>
        <v>#NUM!</v>
      </c>
      <c r="AD50" s="141" t="e">
        <f t="shared" si="1"/>
        <v>#NUM!</v>
      </c>
      <c r="AE50" s="142" t="e">
        <f t="shared" si="1"/>
        <v>#NUM!</v>
      </c>
      <c r="AF50" s="30"/>
      <c r="AG50" s="31" t="e">
        <f t="shared" si="2"/>
        <v>#NUM!</v>
      </c>
      <c r="AI50" s="86" t="e">
        <f t="shared" si="6"/>
        <v>#NUM!</v>
      </c>
      <c r="AJ50" s="87">
        <f t="shared" si="7"/>
        <v>6</v>
      </c>
    </row>
    <row r="51" spans="3:36" x14ac:dyDescent="0.25">
      <c r="C51" s="105" t="s">
        <v>22</v>
      </c>
      <c r="D51" s="6"/>
      <c r="E51" s="99">
        <v>423.0528200283083</v>
      </c>
      <c r="F51" s="100">
        <v>339.76469727793346</v>
      </c>
      <c r="G51" s="100">
        <v>405.52800826292861</v>
      </c>
      <c r="H51" s="100">
        <v>371.98636681660139</v>
      </c>
      <c r="I51" s="100">
        <v>402.53407302201936</v>
      </c>
      <c r="J51" s="100">
        <v>465.91481263744009</v>
      </c>
      <c r="K51" s="100"/>
      <c r="L51" s="100"/>
      <c r="M51" s="100"/>
      <c r="N51" s="101"/>
      <c r="O51" s="136"/>
      <c r="P51" s="31">
        <f t="shared" si="3"/>
        <v>401.46346300753856</v>
      </c>
      <c r="R51" s="86">
        <f t="shared" si="4"/>
        <v>7069.5772389174781</v>
      </c>
      <c r="S51" s="87">
        <f t="shared" si="5"/>
        <v>6</v>
      </c>
      <c r="U51" s="30"/>
      <c r="V51" s="140">
        <f t="shared" si="1"/>
        <v>604.74970412939456</v>
      </c>
      <c r="W51" s="141">
        <f t="shared" si="1"/>
        <v>582.82533111918042</v>
      </c>
      <c r="X51" s="141">
        <f t="shared" si="1"/>
        <v>600.51899421021869</v>
      </c>
      <c r="Y51" s="141">
        <f t="shared" si="1"/>
        <v>591.88572052591098</v>
      </c>
      <c r="Z51" s="141">
        <f t="shared" si="1"/>
        <v>599.77797467465712</v>
      </c>
      <c r="AA51" s="141">
        <f t="shared" si="1"/>
        <v>614.40028119156284</v>
      </c>
      <c r="AB51" s="141" t="e">
        <f t="shared" si="1"/>
        <v>#NUM!</v>
      </c>
      <c r="AC51" s="141" t="e">
        <f t="shared" si="1"/>
        <v>#NUM!</v>
      </c>
      <c r="AD51" s="141" t="e">
        <f t="shared" si="1"/>
        <v>#NUM!</v>
      </c>
      <c r="AE51" s="142" t="e">
        <f t="shared" si="1"/>
        <v>#NUM!</v>
      </c>
      <c r="AF51" s="30"/>
      <c r="AG51" s="31" t="e">
        <f t="shared" si="2"/>
        <v>#NUM!</v>
      </c>
      <c r="AI51" s="86" t="e">
        <f t="shared" si="6"/>
        <v>#NUM!</v>
      </c>
      <c r="AJ51" s="87">
        <f t="shared" si="7"/>
        <v>6</v>
      </c>
    </row>
    <row r="52" spans="3:36" x14ac:dyDescent="0.25">
      <c r="C52" s="105" t="s">
        <v>21</v>
      </c>
      <c r="D52" s="6"/>
      <c r="E52" s="99">
        <v>521.77313499707179</v>
      </c>
      <c r="F52" s="100">
        <v>446.27946500977635</v>
      </c>
      <c r="G52" s="100">
        <v>559.38506721852252</v>
      </c>
      <c r="H52" s="100">
        <v>511.12887240568961</v>
      </c>
      <c r="I52" s="100">
        <v>562.78318349777203</v>
      </c>
      <c r="J52" s="100">
        <v>400.14436280034755</v>
      </c>
      <c r="K52" s="100"/>
      <c r="L52" s="100"/>
      <c r="M52" s="100"/>
      <c r="N52" s="101"/>
      <c r="O52" s="136"/>
      <c r="P52" s="31">
        <f t="shared" si="3"/>
        <v>500.24901432153001</v>
      </c>
      <c r="R52" s="86">
        <f t="shared" si="4"/>
        <v>24930.331012042559</v>
      </c>
      <c r="S52" s="87">
        <f t="shared" si="5"/>
        <v>6</v>
      </c>
      <c r="U52" s="30"/>
      <c r="V52" s="140">
        <f t="shared" si="1"/>
        <v>625.72328861282176</v>
      </c>
      <c r="W52" s="141">
        <f t="shared" si="1"/>
        <v>610.09453589472059</v>
      </c>
      <c r="X52" s="141">
        <f t="shared" si="1"/>
        <v>632.68380861293338</v>
      </c>
      <c r="Y52" s="141">
        <f t="shared" si="1"/>
        <v>623.66217548961447</v>
      </c>
      <c r="Z52" s="141">
        <f t="shared" si="1"/>
        <v>633.28944447258914</v>
      </c>
      <c r="AA52" s="141">
        <f t="shared" si="1"/>
        <v>599.18253889975847</v>
      </c>
      <c r="AB52" s="141" t="e">
        <f t="shared" si="1"/>
        <v>#NUM!</v>
      </c>
      <c r="AC52" s="141" t="e">
        <f t="shared" si="1"/>
        <v>#NUM!</v>
      </c>
      <c r="AD52" s="141" t="e">
        <f t="shared" si="1"/>
        <v>#NUM!</v>
      </c>
      <c r="AE52" s="142" t="e">
        <f t="shared" si="1"/>
        <v>#NUM!</v>
      </c>
      <c r="AF52" s="30"/>
      <c r="AG52" s="31" t="e">
        <f t="shared" si="2"/>
        <v>#NUM!</v>
      </c>
      <c r="AI52" s="86" t="e">
        <f t="shared" si="6"/>
        <v>#NUM!</v>
      </c>
      <c r="AJ52" s="87">
        <f t="shared" si="7"/>
        <v>6</v>
      </c>
    </row>
    <row r="53" spans="3:36" x14ac:dyDescent="0.25">
      <c r="C53" s="105" t="s">
        <v>23</v>
      </c>
      <c r="D53" s="6"/>
      <c r="E53" s="102">
        <v>275.36252278275009</v>
      </c>
      <c r="F53" s="103">
        <v>256.94515153626128</v>
      </c>
      <c r="G53" s="103">
        <v>286.10478672215783</v>
      </c>
      <c r="H53" s="103">
        <v>302.58339232455791</v>
      </c>
      <c r="I53" s="103">
        <v>292.21624802501333</v>
      </c>
      <c r="J53" s="103">
        <v>306.20302749542731</v>
      </c>
      <c r="K53" s="103">
        <v>325.11817295157954</v>
      </c>
      <c r="L53" s="103">
        <v>281.52703187920127</v>
      </c>
      <c r="M53" s="103">
        <v>259.66409626564837</v>
      </c>
      <c r="N53" s="104">
        <v>291.5873642277719</v>
      </c>
      <c r="O53" s="136"/>
      <c r="P53" s="31">
        <f t="shared" si="3"/>
        <v>287.73117942103687</v>
      </c>
      <c r="R53" s="86">
        <f t="shared" si="4"/>
        <v>219212.06154606552</v>
      </c>
      <c r="S53" s="87">
        <f t="shared" si="5"/>
        <v>10</v>
      </c>
      <c r="U53" s="30"/>
      <c r="V53" s="143">
        <f t="shared" si="1"/>
        <v>561.80884941831368</v>
      </c>
      <c r="W53" s="144">
        <f t="shared" si="1"/>
        <v>554.88626439714835</v>
      </c>
      <c r="X53" s="144">
        <f t="shared" si="1"/>
        <v>565.6358130856886</v>
      </c>
      <c r="Y53" s="144">
        <f t="shared" si="1"/>
        <v>571.2356916584921</v>
      </c>
      <c r="Z53" s="144">
        <f t="shared" si="1"/>
        <v>567.74941036057419</v>
      </c>
      <c r="AA53" s="144">
        <f t="shared" si="1"/>
        <v>572.42483704883136</v>
      </c>
      <c r="AB53" s="144">
        <f t="shared" si="1"/>
        <v>578.4188725321759</v>
      </c>
      <c r="AC53" s="144">
        <f t="shared" si="1"/>
        <v>564.02284709594107</v>
      </c>
      <c r="AD53" s="144">
        <f t="shared" si="1"/>
        <v>555.938885830505</v>
      </c>
      <c r="AE53" s="145">
        <f t="shared" si="1"/>
        <v>567.5339666643398</v>
      </c>
      <c r="AF53" s="30"/>
      <c r="AG53" s="31">
        <f t="shared" si="2"/>
        <v>565.96554380920099</v>
      </c>
      <c r="AI53" s="86" t="e">
        <f t="shared" si="6"/>
        <v>#NUM!</v>
      </c>
      <c r="AJ53" s="87">
        <f t="shared" si="7"/>
        <v>10</v>
      </c>
    </row>
    <row r="54" spans="3:36" x14ac:dyDescent="0.25">
      <c r="E54" s="147"/>
      <c r="F54" s="147"/>
      <c r="G54" s="147"/>
      <c r="H54" s="147"/>
      <c r="I54" s="147"/>
      <c r="J54" s="147"/>
      <c r="K54" s="147"/>
      <c r="L54" s="147"/>
      <c r="M54" s="147"/>
      <c r="N54" s="147"/>
      <c r="O54" s="147"/>
      <c r="P54" s="32"/>
      <c r="R54" s="86"/>
      <c r="S54" s="87"/>
      <c r="U54" s="32"/>
      <c r="V54" s="32"/>
      <c r="W54" s="32"/>
      <c r="X54" s="32"/>
      <c r="Y54" s="32"/>
      <c r="Z54" s="32"/>
      <c r="AA54" s="32"/>
      <c r="AB54" s="32"/>
      <c r="AF54" s="32"/>
      <c r="AG54" s="32"/>
      <c r="AI54" s="86"/>
      <c r="AJ54" s="87"/>
    </row>
    <row r="55" spans="3:36" x14ac:dyDescent="0.25">
      <c r="F55" s="30"/>
      <c r="G55" s="30"/>
      <c r="H55" s="30"/>
      <c r="I55" s="30"/>
      <c r="J55" s="30"/>
      <c r="K55" s="30"/>
      <c r="L55" s="30"/>
      <c r="M55" s="30"/>
      <c r="N55" s="30"/>
      <c r="O55" s="148" t="s">
        <v>2</v>
      </c>
      <c r="P55" s="149">
        <f>AVERAGE(P33:P53)</f>
        <v>450.74080848259308</v>
      </c>
      <c r="Q55" s="150" t="s">
        <v>1</v>
      </c>
      <c r="R55" s="86">
        <f>SUM(R34:R53)</f>
        <v>1116586.9667959812</v>
      </c>
      <c r="S55" s="87">
        <f>1/(E69-1)*(G69-SUMPRODUCT(S34:S53,S34:S53)/G69)</f>
        <v>4.6528555431131009</v>
      </c>
      <c r="U55" s="30"/>
      <c r="V55" s="30"/>
      <c r="W55" s="30"/>
      <c r="X55" s="30"/>
      <c r="Y55" s="30"/>
      <c r="Z55" s="30"/>
      <c r="AA55" s="30"/>
      <c r="AB55" s="30"/>
      <c r="AC55" s="30"/>
      <c r="AD55" s="30"/>
      <c r="AE55" s="30"/>
      <c r="AF55" s="148" t="s">
        <v>2</v>
      </c>
      <c r="AG55" s="149" t="e">
        <f>AVERAGE(AG33:AG53)</f>
        <v>#NUM!</v>
      </c>
      <c r="AH55" s="150" t="s">
        <v>1</v>
      </c>
      <c r="AI55" s="86" t="e">
        <f>SUM(AI34:AI53)</f>
        <v>#NUM!</v>
      </c>
      <c r="AJ55" s="87" t="e">
        <f>1/(V73-1)*(X73-SUMPRODUCT(AJ34:AJ53,AJ34:AJ53)/X73)</f>
        <v>#DIV/0!</v>
      </c>
    </row>
    <row r="56" spans="3:36" x14ac:dyDescent="0.25">
      <c r="D56" s="33" t="s">
        <v>2</v>
      </c>
      <c r="E56" s="34">
        <f t="shared" ref="E56:N56" si="8">AVERAGE(E34:E53)</f>
        <v>463.97673275651289</v>
      </c>
      <c r="F56" s="34">
        <f t="shared" si="8"/>
        <v>445.83155738263042</v>
      </c>
      <c r="G56" s="34">
        <f t="shared" si="8"/>
        <v>414.69997342007179</v>
      </c>
      <c r="H56" s="34">
        <f t="shared" si="8"/>
        <v>447.87636166149485</v>
      </c>
      <c r="I56" s="34">
        <f t="shared" si="8"/>
        <v>454.05587812786553</v>
      </c>
      <c r="J56" s="34">
        <f t="shared" si="8"/>
        <v>397.16005707177561</v>
      </c>
      <c r="K56" s="34">
        <f t="shared" si="8"/>
        <v>325.11817295157954</v>
      </c>
      <c r="L56" s="34">
        <f t="shared" si="8"/>
        <v>281.52703187920127</v>
      </c>
      <c r="M56" s="34">
        <f t="shared" si="8"/>
        <v>259.66409626564837</v>
      </c>
      <c r="N56" s="34">
        <f t="shared" si="8"/>
        <v>291.5873642277719</v>
      </c>
      <c r="O56" s="149">
        <f>AVERAGE(E56:N56)</f>
        <v>378.14972257445527</v>
      </c>
      <c r="P56" s="149">
        <f>AVERAGE(E34:N53)</f>
        <v>435.78929691077991</v>
      </c>
      <c r="Q56" s="151">
        <f>STDEV(E56:N56)</f>
        <v>80.241402364342349</v>
      </c>
      <c r="U56" s="33" t="s">
        <v>2</v>
      </c>
      <c r="V56" s="34">
        <f t="shared" ref="V56:AE56" si="9">AVERAGE(V34:V53)</f>
        <v>610.75569795711544</v>
      </c>
      <c r="W56" s="34">
        <f t="shared" si="9"/>
        <v>607.17746925182371</v>
      </c>
      <c r="X56" s="34" t="e">
        <f t="shared" si="9"/>
        <v>#NUM!</v>
      </c>
      <c r="Y56" s="34" t="e">
        <f t="shared" si="9"/>
        <v>#NUM!</v>
      </c>
      <c r="Z56" s="34" t="e">
        <f t="shared" si="9"/>
        <v>#NUM!</v>
      </c>
      <c r="AA56" s="34" t="e">
        <f t="shared" si="9"/>
        <v>#NUM!</v>
      </c>
      <c r="AB56" s="34" t="e">
        <f t="shared" si="9"/>
        <v>#NUM!</v>
      </c>
      <c r="AC56" s="34" t="e">
        <f t="shared" si="9"/>
        <v>#NUM!</v>
      </c>
      <c r="AD56" s="34" t="e">
        <f t="shared" si="9"/>
        <v>#NUM!</v>
      </c>
      <c r="AE56" s="34" t="e">
        <f t="shared" si="9"/>
        <v>#NUM!</v>
      </c>
      <c r="AF56" s="149" t="e">
        <f>AVERAGE(V56:AE56)</f>
        <v>#NUM!</v>
      </c>
      <c r="AG56" s="149" t="e">
        <f>AVERAGE(V34:AE53)</f>
        <v>#NUM!</v>
      </c>
      <c r="AH56" s="151" t="e">
        <f>STDEV(V56:AE56)</f>
        <v>#NUM!</v>
      </c>
    </row>
    <row r="57" spans="3:36" ht="13.8" thickBot="1" x14ac:dyDescent="0.3">
      <c r="E57" s="13"/>
      <c r="F57" s="13"/>
      <c r="G57" s="13"/>
      <c r="H57" s="13"/>
      <c r="I57" s="13"/>
      <c r="J57" s="13"/>
      <c r="K57" s="13"/>
      <c r="L57" s="13"/>
      <c r="M57" s="13"/>
      <c r="N57" s="13"/>
      <c r="O57" s="152" t="s">
        <v>1</v>
      </c>
      <c r="P57" s="153">
        <f>STDEV(P34:P53)</f>
        <v>108.63786646367591</v>
      </c>
      <c r="Q57" s="154">
        <f>STDEV(E34:N53)</f>
        <v>117.61234424873157</v>
      </c>
      <c r="R57" s="13"/>
      <c r="S57" s="13"/>
      <c r="T57" s="13"/>
      <c r="U57" s="13"/>
      <c r="V57" s="13"/>
      <c r="W57" s="13"/>
      <c r="X57" s="13"/>
      <c r="Y57" s="13"/>
      <c r="AF57" s="152" t="s">
        <v>1</v>
      </c>
      <c r="AG57" s="153" t="e">
        <f>STDEV(AG34:AG53)</f>
        <v>#NUM!</v>
      </c>
      <c r="AH57" s="154" t="e">
        <f>STDEV(V34:AE53)</f>
        <v>#NUM!</v>
      </c>
    </row>
    <row r="58" spans="3:36" x14ac:dyDescent="0.25">
      <c r="C58" s="155" t="s">
        <v>24</v>
      </c>
      <c r="D58" s="156"/>
      <c r="E58" s="157"/>
      <c r="F58" s="51" t="s">
        <v>57</v>
      </c>
      <c r="G58" s="51" t="s">
        <v>58</v>
      </c>
      <c r="H58" s="51" t="s">
        <v>74</v>
      </c>
      <c r="I58" s="158" t="s">
        <v>75</v>
      </c>
      <c r="J58" s="35"/>
      <c r="K58" s="35"/>
      <c r="L58" s="35"/>
      <c r="M58" s="35"/>
      <c r="N58" s="35"/>
      <c r="P58" s="35"/>
      <c r="S58" s="68"/>
      <c r="T58" s="51"/>
      <c r="U58" s="51"/>
      <c r="V58" s="159" t="s">
        <v>78</v>
      </c>
      <c r="W58" s="51" t="s">
        <v>57</v>
      </c>
      <c r="X58" s="51" t="s">
        <v>58</v>
      </c>
      <c r="Y58" s="51" t="s">
        <v>74</v>
      </c>
      <c r="Z58" s="160" t="s">
        <v>75</v>
      </c>
      <c r="AA58" s="35"/>
      <c r="AB58" s="35"/>
      <c r="AC58" s="35"/>
      <c r="AD58" s="35"/>
      <c r="AE58" s="35"/>
      <c r="AF58" s="12" t="s">
        <v>54</v>
      </c>
    </row>
    <row r="59" spans="3:36" x14ac:dyDescent="0.25">
      <c r="C59" s="79"/>
      <c r="D59" s="161" t="s">
        <v>65</v>
      </c>
      <c r="E59" s="46">
        <f>SQRT(E77)</f>
        <v>116.63687488170126</v>
      </c>
      <c r="F59" s="46">
        <f>SQRT(F77)</f>
        <v>92.600992316890327</v>
      </c>
      <c r="G59" s="46">
        <f>SQRT(G77)</f>
        <v>159.84038609104502</v>
      </c>
      <c r="H59" s="162"/>
      <c r="I59" s="56">
        <f>SQRT(G59/F59)</f>
        <v>1.3138187018590246</v>
      </c>
      <c r="J59" s="35"/>
      <c r="K59" s="35"/>
      <c r="L59" s="35"/>
      <c r="M59" s="35"/>
      <c r="N59" s="35"/>
      <c r="P59" s="35"/>
      <c r="S59" s="69"/>
      <c r="T59" s="65"/>
      <c r="U59" s="161" t="s">
        <v>79</v>
      </c>
      <c r="V59" s="67" t="e">
        <f t="shared" ref="V59:X61" si="10">EXP(V84/100)</f>
        <v>#NUM!</v>
      </c>
      <c r="W59" s="67" t="e">
        <f t="shared" si="10"/>
        <v>#NUM!</v>
      </c>
      <c r="X59" s="67" t="e">
        <f t="shared" si="10"/>
        <v>#NUM!</v>
      </c>
      <c r="Y59" s="65"/>
      <c r="Z59" s="56" t="e">
        <f>SQRT(X59/W59)</f>
        <v>#NUM!</v>
      </c>
      <c r="AA59" s="35"/>
      <c r="AB59" s="35"/>
      <c r="AC59" s="35"/>
      <c r="AD59" s="35"/>
      <c r="AE59" s="35"/>
      <c r="AF59" s="148" t="s">
        <v>2</v>
      </c>
      <c r="AG59" s="149" t="e">
        <f>EXP(AG55/100)</f>
        <v>#NUM!</v>
      </c>
      <c r="AH59" s="150" t="s">
        <v>55</v>
      </c>
    </row>
    <row r="60" spans="3:36" x14ac:dyDescent="0.25">
      <c r="C60" s="80"/>
      <c r="D60" s="163" t="s">
        <v>63</v>
      </c>
      <c r="E60" s="40">
        <f>IF(ISERROR(SQRT(E78)),-SQRT(-E78), SQRT(E78))</f>
        <v>106.34321936389249</v>
      </c>
      <c r="F60" s="40">
        <f>IF(ISERROR(SQRT(F78)),-SQRT(-F78), SQRT(F78))</f>
        <v>70.775006926373024</v>
      </c>
      <c r="G60" s="40">
        <f>IF(ISERROR(SQRT(G78)),-SQRT(-G78), SQRT(G78))</f>
        <v>132.6976224501621</v>
      </c>
      <c r="H60" s="40">
        <f>(G60-F60)/2</f>
        <v>30.961307761894538</v>
      </c>
      <c r="I60" s="85"/>
      <c r="J60" s="35"/>
      <c r="K60" s="35"/>
      <c r="L60" s="35"/>
      <c r="M60" s="35"/>
      <c r="N60" s="35"/>
      <c r="P60" s="35"/>
      <c r="S60" s="70"/>
      <c r="T60" s="66"/>
      <c r="U60" s="163" t="s">
        <v>82</v>
      </c>
      <c r="V60" s="44" t="e">
        <f t="shared" si="10"/>
        <v>#NUM!</v>
      </c>
      <c r="W60" s="44" t="e">
        <f t="shared" si="10"/>
        <v>#NUM!</v>
      </c>
      <c r="X60" s="44" t="e">
        <f t="shared" si="10"/>
        <v>#NUM!</v>
      </c>
      <c r="Y60" s="66"/>
      <c r="Z60" s="53" t="e">
        <f>SQRT(X60/W60)</f>
        <v>#NUM!</v>
      </c>
      <c r="AA60" s="35"/>
      <c r="AB60" s="35"/>
      <c r="AC60" s="35"/>
      <c r="AD60" s="35"/>
      <c r="AE60" s="35"/>
      <c r="AF60" s="149" t="e">
        <f>EXP(AF56/100)</f>
        <v>#NUM!</v>
      </c>
      <c r="AG60" s="149" t="e">
        <f>EXP(AG56/100)</f>
        <v>#NUM!</v>
      </c>
      <c r="AH60" s="151" t="e">
        <f>100*EXP(AH56/100)-100</f>
        <v>#NUM!</v>
      </c>
    </row>
    <row r="61" spans="3:36" x14ac:dyDescent="0.25">
      <c r="C61" s="81"/>
      <c r="D61" s="38" t="s">
        <v>61</v>
      </c>
      <c r="E61" s="58">
        <f>SQRT(H72)</f>
        <v>47.909083454942831</v>
      </c>
      <c r="F61" s="58">
        <f>SQRT(H70*E61^2/CHIINV((100-$D$23)/100/2,H70))</f>
        <v>42.265478120082918</v>
      </c>
      <c r="G61" s="58">
        <f>SQRT(H70*E61^2/CHIINV(1-(100-$D$23)/100/2,H70))</f>
        <v>55.47618026310159</v>
      </c>
      <c r="H61" s="164"/>
      <c r="I61" s="59">
        <f>SQRT(G61/F61)</f>
        <v>1.1456722191686675</v>
      </c>
      <c r="J61" s="36"/>
      <c r="K61" s="35"/>
      <c r="L61" s="36"/>
      <c r="M61" s="36"/>
      <c r="N61" s="36"/>
      <c r="P61" s="36"/>
      <c r="S61" s="71"/>
      <c r="T61" s="45"/>
      <c r="U61" s="165" t="s">
        <v>80</v>
      </c>
      <c r="V61" s="166" t="e">
        <f t="shared" si="10"/>
        <v>#NUM!</v>
      </c>
      <c r="W61" s="166" t="e">
        <f t="shared" si="10"/>
        <v>#NUM!</v>
      </c>
      <c r="X61" s="166" t="e">
        <f t="shared" si="10"/>
        <v>#NUM!</v>
      </c>
      <c r="Y61" s="45"/>
      <c r="Z61" s="57" t="e">
        <f>SQRT(X61/W61)</f>
        <v>#NUM!</v>
      </c>
      <c r="AA61" s="36"/>
      <c r="AB61" s="36"/>
      <c r="AC61" s="36"/>
      <c r="AD61" s="36"/>
      <c r="AE61" s="36"/>
      <c r="AF61" s="152" t="s">
        <v>55</v>
      </c>
      <c r="AG61" s="153" t="e">
        <f>100*EXP(AG57/100)-100</f>
        <v>#NUM!</v>
      </c>
      <c r="AH61" s="154" t="e">
        <f>100*EXP(AH57/100)-100</f>
        <v>#NUM!</v>
      </c>
    </row>
    <row r="62" spans="3:36" ht="13.8" thickBot="1" x14ac:dyDescent="0.3">
      <c r="C62" s="82"/>
      <c r="D62" s="167" t="s">
        <v>56</v>
      </c>
      <c r="E62" s="168">
        <f>(E76-1)/(E76+S55-1)</f>
        <v>0.84096381877552173</v>
      </c>
      <c r="F62" s="168">
        <f>(F76-1)/(F76+S55-1)</f>
        <v>0.74798770079545951</v>
      </c>
      <c r="G62" s="168">
        <f>(G76-1)/(G76+S55-1)</f>
        <v>0.91362294016929579</v>
      </c>
      <c r="H62" s="168">
        <f>(G62-F62)/2</f>
        <v>8.2817619686918142E-2</v>
      </c>
      <c r="I62" s="63"/>
      <c r="J62" s="13"/>
      <c r="K62" s="13"/>
      <c r="L62" s="13"/>
      <c r="M62" s="36"/>
      <c r="N62" s="36"/>
      <c r="P62" s="36"/>
      <c r="S62" s="69"/>
      <c r="T62" s="65"/>
      <c r="U62" s="161" t="s">
        <v>115</v>
      </c>
      <c r="V62" s="46" t="e">
        <f t="shared" ref="V62:X64" si="11">100*V59-100</f>
        <v>#NUM!</v>
      </c>
      <c r="W62" s="46" t="e">
        <f t="shared" si="11"/>
        <v>#NUM!</v>
      </c>
      <c r="X62" s="46" t="e">
        <f t="shared" si="11"/>
        <v>#NUM!</v>
      </c>
      <c r="Y62" s="162"/>
      <c r="Z62" s="56" t="e">
        <f>SQRT(X62/W62)</f>
        <v>#NUM!</v>
      </c>
      <c r="AA62" s="36"/>
      <c r="AB62" s="36"/>
      <c r="AC62" s="36"/>
    </row>
    <row r="63" spans="3:36" x14ac:dyDescent="0.25">
      <c r="C63" s="78"/>
      <c r="D63" s="54"/>
      <c r="E63" s="47" t="s">
        <v>59</v>
      </c>
      <c r="F63" s="48">
        <v>2</v>
      </c>
      <c r="G63" s="169" t="s">
        <v>60</v>
      </c>
      <c r="H63" s="51"/>
      <c r="I63" s="83"/>
      <c r="J63" s="13"/>
      <c r="K63" s="13"/>
      <c r="L63" s="13"/>
      <c r="S63" s="70"/>
      <c r="T63" s="66"/>
      <c r="U63" s="163" t="s">
        <v>116</v>
      </c>
      <c r="V63" s="40" t="e">
        <f t="shared" si="11"/>
        <v>#NUM!</v>
      </c>
      <c r="W63" s="40" t="e">
        <f t="shared" si="11"/>
        <v>#NUM!</v>
      </c>
      <c r="X63" s="40" t="e">
        <f t="shared" si="11"/>
        <v>#NUM!</v>
      </c>
      <c r="Y63" s="40" t="e">
        <f>(X63-W63)/2</f>
        <v>#NUM!</v>
      </c>
      <c r="Z63" s="85"/>
      <c r="AA63" s="36"/>
      <c r="AB63" s="36"/>
    </row>
    <row r="64" spans="3:36" x14ac:dyDescent="0.25">
      <c r="C64" s="84"/>
      <c r="D64" s="42"/>
      <c r="E64" s="41"/>
      <c r="F64" s="41" t="s">
        <v>57</v>
      </c>
      <c r="G64" s="41" t="s">
        <v>58</v>
      </c>
      <c r="H64" s="41" t="s">
        <v>74</v>
      </c>
      <c r="I64" s="170" t="s">
        <v>75</v>
      </c>
      <c r="J64" s="13"/>
      <c r="K64" s="13"/>
      <c r="L64" s="13"/>
      <c r="S64" s="71"/>
      <c r="T64" s="45"/>
      <c r="U64" s="38" t="s">
        <v>119</v>
      </c>
      <c r="V64" s="58" t="e">
        <f t="shared" si="11"/>
        <v>#NUM!</v>
      </c>
      <c r="W64" s="58" t="e">
        <f t="shared" si="11"/>
        <v>#NUM!</v>
      </c>
      <c r="X64" s="58" t="e">
        <f t="shared" si="11"/>
        <v>#NUM!</v>
      </c>
      <c r="Y64" s="164"/>
      <c r="Z64" s="59" t="e">
        <f>SQRT(X64/W64)</f>
        <v>#NUM!</v>
      </c>
      <c r="AA64" s="14"/>
      <c r="AB64" s="36"/>
    </row>
    <row r="65" spans="1:28" ht="13.8" thickBot="1" x14ac:dyDescent="0.3">
      <c r="C65" s="80"/>
      <c r="D65" s="39" t="s">
        <v>61</v>
      </c>
      <c r="E65" s="40">
        <f>E61/SQRT(F63)</f>
        <v>33.876837791422304</v>
      </c>
      <c r="F65" s="40">
        <f>F61/SQRT(F63)</f>
        <v>29.88620618880228</v>
      </c>
      <c r="G65" s="40">
        <f>G61/SQRT(F63)</f>
        <v>39.227583258366437</v>
      </c>
      <c r="H65" s="171"/>
      <c r="I65" s="53">
        <f>SQRT(G65/F65)</f>
        <v>1.1456722191686675</v>
      </c>
      <c r="J65" s="13"/>
      <c r="K65" s="13"/>
      <c r="L65" s="13"/>
      <c r="S65" s="72"/>
      <c r="T65" s="73"/>
      <c r="U65" s="167" t="s">
        <v>56</v>
      </c>
      <c r="V65" s="168" t="e">
        <f>(V80-1)/(V80+AJ55-1)</f>
        <v>#NUM!</v>
      </c>
      <c r="W65" s="168" t="e">
        <f>(W80-1)/(W80+AJ55-1)</f>
        <v>#NUM!</v>
      </c>
      <c r="X65" s="168" t="e">
        <f>(X80-1)/(X80+AJ55-1)</f>
        <v>#NUM!</v>
      </c>
      <c r="Y65" s="168" t="e">
        <f>(X65-W65)/2</f>
        <v>#NUM!</v>
      </c>
      <c r="Z65" s="63"/>
      <c r="AA65" s="14"/>
      <c r="AB65" s="36"/>
    </row>
    <row r="66" spans="1:28" ht="13.8" thickBot="1" x14ac:dyDescent="0.3">
      <c r="C66" s="76"/>
      <c r="D66" s="172" t="s">
        <v>56</v>
      </c>
      <c r="E66" s="49">
        <f>IF(E76&lt;1,"~0.0",(E76-1)/(E76-1+$S$55/$F$63))</f>
        <v>0.9136125438194338</v>
      </c>
      <c r="F66" s="49">
        <f>IF(F76&lt;1,"?",(F76-1)/(F76-1+$S$55/$F$63))</f>
        <v>0.85582718969369365</v>
      </c>
      <c r="G66" s="49">
        <f>IF(E76&lt;1,"?",(G76-1)/(G76-1+$S$55/$F$63))</f>
        <v>0.95486202740490622</v>
      </c>
      <c r="H66" s="49">
        <f>IF(F76&lt;1,"?",(G66-F66)/2)</f>
        <v>4.9517418855606288E-2</v>
      </c>
      <c r="I66" s="55"/>
      <c r="J66" s="13"/>
      <c r="K66" s="13"/>
      <c r="L66" s="13"/>
      <c r="S66" s="68"/>
      <c r="T66" s="51"/>
      <c r="U66" s="54"/>
      <c r="V66" s="47" t="s">
        <v>59</v>
      </c>
      <c r="W66" s="48">
        <v>2</v>
      </c>
      <c r="X66" s="169" t="s">
        <v>60</v>
      </c>
      <c r="Y66" s="51"/>
      <c r="Z66" s="74"/>
      <c r="AA66" s="14"/>
      <c r="AB66" s="36"/>
    </row>
    <row r="67" spans="1:28" x14ac:dyDescent="0.25">
      <c r="D67" s="14"/>
      <c r="E67" s="173" t="s">
        <v>47</v>
      </c>
      <c r="F67" s="173"/>
      <c r="I67" s="35"/>
      <c r="J67" s="13"/>
      <c r="K67" s="13"/>
      <c r="L67" s="13"/>
      <c r="S67" s="75"/>
      <c r="T67" s="41"/>
      <c r="U67" s="41"/>
      <c r="V67" s="41"/>
      <c r="W67" s="41" t="s">
        <v>57</v>
      </c>
      <c r="X67" s="41" t="s">
        <v>58</v>
      </c>
      <c r="Y67" s="41" t="s">
        <v>74</v>
      </c>
      <c r="Z67" s="170" t="s">
        <v>75</v>
      </c>
      <c r="AA67" s="14"/>
      <c r="AB67" s="36"/>
    </row>
    <row r="68" spans="1:28" x14ac:dyDescent="0.25">
      <c r="E68" s="173" t="s">
        <v>49</v>
      </c>
      <c r="F68" s="173"/>
      <c r="G68" s="14" t="s">
        <v>28</v>
      </c>
      <c r="H68" s="14" t="s">
        <v>29</v>
      </c>
      <c r="I68" s="35"/>
      <c r="J68" s="13"/>
      <c r="K68" s="13"/>
      <c r="L68" s="13"/>
      <c r="S68" s="69"/>
      <c r="T68" s="65"/>
      <c r="U68" s="161" t="s">
        <v>80</v>
      </c>
      <c r="V68" s="67" t="e">
        <f>EXP(V87/100)</f>
        <v>#NUM!</v>
      </c>
      <c r="W68" s="67" t="e">
        <f>EXP(W87/100)</f>
        <v>#NUM!</v>
      </c>
      <c r="X68" s="67" t="e">
        <f>EXP(X87/100)</f>
        <v>#NUM!</v>
      </c>
      <c r="Y68" s="162"/>
      <c r="Z68" s="56" t="e">
        <f>SQRT(X68/W68)</f>
        <v>#NUM!</v>
      </c>
      <c r="AA68" s="14"/>
      <c r="AB68" s="36"/>
    </row>
    <row r="69" spans="1:28" x14ac:dyDescent="0.25">
      <c r="D69" s="15" t="s">
        <v>0</v>
      </c>
      <c r="E69" s="14">
        <f>COUNT(P34:P53)</f>
        <v>20</v>
      </c>
      <c r="G69" s="14">
        <f>COUNT(E34:N53)</f>
        <v>94</v>
      </c>
      <c r="J69" s="13"/>
      <c r="K69" s="13"/>
      <c r="L69" s="13"/>
      <c r="S69" s="70"/>
      <c r="T69" s="66"/>
      <c r="U69" s="39" t="s">
        <v>119</v>
      </c>
      <c r="V69" s="40" t="e">
        <f>100*V68-100</f>
        <v>#NUM!</v>
      </c>
      <c r="W69" s="40" t="e">
        <f>100*W68-100</f>
        <v>#NUM!</v>
      </c>
      <c r="X69" s="40" t="e">
        <f>100*X68-100</f>
        <v>#NUM!</v>
      </c>
      <c r="Y69" s="171"/>
      <c r="Z69" s="53" t="e">
        <f>SQRT(X69/W69)</f>
        <v>#NUM!</v>
      </c>
      <c r="AA69" s="14"/>
      <c r="AB69" s="36"/>
    </row>
    <row r="70" spans="1:28" ht="13.8" thickBot="1" x14ac:dyDescent="0.3">
      <c r="D70" s="15" t="s">
        <v>30</v>
      </c>
      <c r="E70" s="14">
        <f>E69-1</f>
        <v>19</v>
      </c>
      <c r="G70" s="14">
        <f>G69-1</f>
        <v>93</v>
      </c>
      <c r="H70" s="14">
        <f>G70-E70</f>
        <v>74</v>
      </c>
      <c r="I70" s="36"/>
      <c r="S70" s="76"/>
      <c r="T70" s="77"/>
      <c r="U70" s="172" t="s">
        <v>56</v>
      </c>
      <c r="V70" s="49" t="e">
        <f>IF(V80&lt;1,"~0.0",(V80-1)/(V80-1+$AJ$55/$W$66))</f>
        <v>#NUM!</v>
      </c>
      <c r="W70" s="49" t="e">
        <f>IF(W80&lt;1,"?",(W80-1)/(W80-1+$AJ$55/$W$66))</f>
        <v>#NUM!</v>
      </c>
      <c r="X70" s="49" t="e">
        <f>IF(V80&lt;1,"?",(X80-1)/(X80-1+$AJ$55/$W$66))</f>
        <v>#NUM!</v>
      </c>
      <c r="Y70" s="49" t="e">
        <f>IF(W80&lt;1,"?",(X70-W70)/2)</f>
        <v>#NUM!</v>
      </c>
      <c r="Z70" s="55"/>
      <c r="AA70" s="14"/>
      <c r="AB70" s="36"/>
    </row>
    <row r="71" spans="1:28" x14ac:dyDescent="0.25">
      <c r="D71" s="15" t="s">
        <v>27</v>
      </c>
      <c r="E71" s="14">
        <f>R55</f>
        <v>1116586.9667959812</v>
      </c>
      <c r="F71" s="30"/>
      <c r="G71" s="14">
        <f>Q57^2*G70</f>
        <v>1286437.7073304392</v>
      </c>
      <c r="H71" s="14">
        <f>G71-E71-F71</f>
        <v>169850.74053445808</v>
      </c>
      <c r="I71" s="13"/>
      <c r="V71" s="173" t="s">
        <v>47</v>
      </c>
      <c r="W71" s="173"/>
      <c r="Z71" s="35"/>
      <c r="AA71" s="14"/>
      <c r="AB71" s="36"/>
    </row>
    <row r="72" spans="1:28" x14ac:dyDescent="0.25">
      <c r="D72" s="113" t="s">
        <v>50</v>
      </c>
      <c r="E72" s="174">
        <f>P57^2-H72/S55</f>
        <v>11308.880304676959</v>
      </c>
      <c r="F72" s="30"/>
      <c r="G72" s="30"/>
      <c r="H72" s="30">
        <f>H71/H70</f>
        <v>2295.2802774926768</v>
      </c>
      <c r="I72" s="13"/>
      <c r="U72" s="13"/>
      <c r="V72" s="173" t="s">
        <v>49</v>
      </c>
      <c r="W72" s="173"/>
      <c r="X72" s="14" t="s">
        <v>28</v>
      </c>
      <c r="Y72" s="14" t="s">
        <v>29</v>
      </c>
      <c r="Z72" s="35"/>
      <c r="AA72" s="14"/>
      <c r="AB72" s="36"/>
    </row>
    <row r="73" spans="1:28" x14ac:dyDescent="0.25">
      <c r="D73" s="113" t="s">
        <v>51</v>
      </c>
      <c r="E73" s="14">
        <f>2*P57^4/(E69-1)+1/S55^2*2*H72^2/H70</f>
        <v>14668850.208054876</v>
      </c>
      <c r="F73" s="30"/>
      <c r="G73" s="30"/>
      <c r="H73" s="14">
        <f>2*H72^2/H70</f>
        <v>142386.79870937456</v>
      </c>
      <c r="I73" s="13"/>
      <c r="U73" s="15" t="s">
        <v>0</v>
      </c>
      <c r="V73" s="14">
        <f>COUNT(AG34:AG53)</f>
        <v>1</v>
      </c>
      <c r="X73" s="14">
        <f>COUNT(V34:AE53)</f>
        <v>94</v>
      </c>
      <c r="Z73" s="35"/>
      <c r="AA73" s="14"/>
      <c r="AB73" s="36"/>
    </row>
    <row r="74" spans="1:28" x14ac:dyDescent="0.25">
      <c r="D74" s="175" t="s">
        <v>52</v>
      </c>
      <c r="E74" s="174">
        <f>SQRT(E73)</f>
        <v>3829.9934997405512</v>
      </c>
      <c r="F74" s="174"/>
      <c r="G74" s="174"/>
      <c r="H74" s="174">
        <f>SQRT(H73)</f>
        <v>377.34175320175552</v>
      </c>
      <c r="I74" s="13"/>
      <c r="U74" s="15" t="s">
        <v>30</v>
      </c>
      <c r="V74" s="14">
        <f>V73-1</f>
        <v>0</v>
      </c>
      <c r="X74" s="14">
        <f>X73-1</f>
        <v>93</v>
      </c>
      <c r="Y74" s="14">
        <f>X74-V74</f>
        <v>93</v>
      </c>
      <c r="Z74" s="36"/>
      <c r="AA74" s="14"/>
      <c r="AB74" s="36"/>
    </row>
    <row r="75" spans="1:28" x14ac:dyDescent="0.25">
      <c r="D75" s="14"/>
      <c r="F75" s="14" t="s">
        <v>57</v>
      </c>
      <c r="G75" s="14" t="s">
        <v>58</v>
      </c>
      <c r="U75" s="15" t="s">
        <v>27</v>
      </c>
      <c r="V75" s="14" t="e">
        <f>AI55</f>
        <v>#NUM!</v>
      </c>
      <c r="X75" s="14" t="e">
        <f>AH57^2*X74</f>
        <v>#NUM!</v>
      </c>
      <c r="Y75" s="14" t="e">
        <f>X75-V75-W75</f>
        <v>#NUM!</v>
      </c>
      <c r="Z75" s="36"/>
      <c r="AA75" s="14"/>
      <c r="AB75" s="36"/>
    </row>
    <row r="76" spans="1:28" x14ac:dyDescent="0.25">
      <c r="D76" s="15" t="s">
        <v>66</v>
      </c>
      <c r="E76" s="35">
        <f>E71/E70/(H71/H70)</f>
        <v>25.603729387995333</v>
      </c>
      <c r="F76" s="176">
        <f>E76/FINV((1-$D$23/100)/2,E70,H70)</f>
        <v>14.809955826806224</v>
      </c>
      <c r="G76" s="176">
        <f>E76*FINV((1-$D$23/100)/2,H70,E70)</f>
        <v>50.213941407749999</v>
      </c>
      <c r="I76" s="13"/>
      <c r="U76" s="113" t="s">
        <v>50</v>
      </c>
      <c r="V76" s="177" t="e">
        <f>AG57^2-Y76/AJ55</f>
        <v>#NUM!</v>
      </c>
      <c r="W76" s="35"/>
      <c r="X76" s="35"/>
      <c r="Y76" s="35" t="e">
        <f>Y75/Y74</f>
        <v>#NUM!</v>
      </c>
      <c r="Z76" s="36"/>
      <c r="AB76" s="36"/>
    </row>
    <row r="77" spans="1:28" x14ac:dyDescent="0.25">
      <c r="D77" s="113" t="s">
        <v>71</v>
      </c>
      <c r="E77" s="30">
        <f>E72+H72</f>
        <v>13604.160582169636</v>
      </c>
      <c r="F77" s="30">
        <f>E70*E77/CHIINV((100-$D$23)/100/2,E70)</f>
        <v>8574.9437780727803</v>
      </c>
      <c r="G77" s="30">
        <f>E70*E77/CHIINV(1-(100-$D$23)/100/2,E70)</f>
        <v>25548.949025734335</v>
      </c>
      <c r="I77" s="13"/>
      <c r="U77" s="113" t="s">
        <v>51</v>
      </c>
      <c r="V77" s="14" t="e">
        <f>2*AG57^4/(V73-1)+1/AJ55^2*2*Y76^2/Y74</f>
        <v>#NUM!</v>
      </c>
      <c r="Y77" s="14" t="e">
        <f>2*Y76^2/Y74</f>
        <v>#NUM!</v>
      </c>
      <c r="Z77" s="14"/>
      <c r="AB77" s="36"/>
    </row>
    <row r="78" spans="1:28" x14ac:dyDescent="0.25">
      <c r="A78" s="14"/>
      <c r="B78" s="14"/>
      <c r="D78" s="113" t="s">
        <v>73</v>
      </c>
      <c r="E78" s="30">
        <f>E72</f>
        <v>11308.880304676959</v>
      </c>
      <c r="F78" s="30">
        <f>E72+NORMSINV((100-$D$23)/100/2)*E74</f>
        <v>5009.101605428149</v>
      </c>
      <c r="G78" s="30">
        <f>E72-NORMSINV((100-$D$23)/100/2)*E74</f>
        <v>17608.659003925768</v>
      </c>
      <c r="I78" s="13"/>
      <c r="U78" s="175" t="s">
        <v>52</v>
      </c>
      <c r="V78" s="178" t="e">
        <f>SQRT(V77)</f>
        <v>#NUM!</v>
      </c>
      <c r="W78" s="178"/>
      <c r="X78" s="178"/>
      <c r="Y78" s="178" t="e">
        <f>SQRT(Y77)</f>
        <v>#NUM!</v>
      </c>
      <c r="Z78" s="14"/>
      <c r="AB78" s="36"/>
    </row>
    <row r="79" spans="1:28" x14ac:dyDescent="0.25">
      <c r="A79" s="14"/>
      <c r="B79" s="14"/>
      <c r="C79" s="14"/>
      <c r="D79" s="14"/>
      <c r="W79" s="14" t="s">
        <v>57</v>
      </c>
      <c r="X79" s="14" t="s">
        <v>58</v>
      </c>
      <c r="Z79" s="14"/>
      <c r="AB79" s="36"/>
    </row>
    <row r="80" spans="1:28" x14ac:dyDescent="0.25">
      <c r="A80" s="14"/>
      <c r="B80" s="14"/>
      <c r="C80" s="14"/>
      <c r="D80" s="14"/>
      <c r="U80" s="15" t="s">
        <v>66</v>
      </c>
      <c r="V80" s="35" t="e">
        <f>V75/V74/(Y75/Y74)</f>
        <v>#NUM!</v>
      </c>
      <c r="W80" s="176" t="e">
        <f>V80/FINV((1-$D$23/100)/2,V74,Y74)</f>
        <v>#NUM!</v>
      </c>
      <c r="X80" s="176" t="e">
        <f>V80*FINV((1-$D$23/100)/2,Y74,V74)</f>
        <v>#NUM!</v>
      </c>
      <c r="Z80" s="14"/>
      <c r="AB80" s="36"/>
    </row>
    <row r="81" spans="1:29" x14ac:dyDescent="0.25">
      <c r="A81" s="14"/>
      <c r="B81" s="14"/>
      <c r="C81" s="14"/>
      <c r="D81" s="14"/>
      <c r="U81" s="113" t="s">
        <v>71</v>
      </c>
      <c r="V81" s="35" t="e">
        <f>V76+Y76</f>
        <v>#NUM!</v>
      </c>
      <c r="W81" s="30" t="e">
        <f>V74*V81/CHIINV((100-$D$23)/100/2,V74)</f>
        <v>#NUM!</v>
      </c>
      <c r="X81" s="14" t="e">
        <f>V74*V81/CHIINV(1-(100-$D$23)/100/2,V74)</f>
        <v>#NUM!</v>
      </c>
      <c r="AB81" s="36"/>
    </row>
    <row r="82" spans="1:29" x14ac:dyDescent="0.25">
      <c r="A82" s="14"/>
      <c r="B82" s="14"/>
      <c r="C82" s="14"/>
      <c r="D82" s="14"/>
      <c r="U82" s="113" t="s">
        <v>73</v>
      </c>
      <c r="V82" s="35" t="e">
        <f>V76</f>
        <v>#NUM!</v>
      </c>
      <c r="W82" s="14" t="e">
        <f>V76+NORMSINV((100-$D$23)/100/2)*V78</f>
        <v>#NUM!</v>
      </c>
      <c r="X82" s="14" t="e">
        <f>V76-NORMSINV((100-$D$23)/100/2)*V78</f>
        <v>#NUM!</v>
      </c>
      <c r="Z82" s="14"/>
      <c r="AA82" s="14"/>
      <c r="AB82" s="36"/>
    </row>
    <row r="83" spans="1:29" x14ac:dyDescent="0.25">
      <c r="A83" s="14"/>
      <c r="B83" s="14"/>
      <c r="C83" s="14"/>
      <c r="D83" s="14"/>
      <c r="U83" s="113"/>
      <c r="V83" s="35"/>
      <c r="W83" s="14" t="s">
        <v>57</v>
      </c>
      <c r="X83" s="14" t="s">
        <v>58</v>
      </c>
      <c r="Z83" s="14"/>
      <c r="AA83" s="14"/>
      <c r="AB83" s="36"/>
    </row>
    <row r="84" spans="1:29" x14ac:dyDescent="0.25">
      <c r="A84" s="14"/>
      <c r="B84" s="14"/>
      <c r="C84" s="14"/>
      <c r="D84" s="14"/>
      <c r="U84" s="113" t="s">
        <v>65</v>
      </c>
      <c r="V84" s="35" t="e">
        <f>SQRT(V81)</f>
        <v>#NUM!</v>
      </c>
      <c r="W84" s="35" t="e">
        <f>SQRT(W81)</f>
        <v>#NUM!</v>
      </c>
      <c r="X84" s="35" t="e">
        <f>SQRT(X81)</f>
        <v>#NUM!</v>
      </c>
      <c r="Y84" s="35"/>
      <c r="Z84" s="14"/>
      <c r="AA84" s="14"/>
      <c r="AB84" s="36"/>
    </row>
    <row r="85" spans="1:29" x14ac:dyDescent="0.25">
      <c r="A85" s="14"/>
      <c r="B85" s="14"/>
      <c r="C85" s="14"/>
      <c r="D85" s="14"/>
      <c r="U85" s="113" t="s">
        <v>63</v>
      </c>
      <c r="V85" s="176" t="e">
        <f>IF(ISERROR(SQRT(V82)),-SQRT(-V82),SQRT(V82))</f>
        <v>#NUM!</v>
      </c>
      <c r="W85" s="176" t="e">
        <f>IF(ISERROR(SQRT(W82)),-SQRT(-W82),SQRT(W82))</f>
        <v>#NUM!</v>
      </c>
      <c r="X85" s="176" t="e">
        <f>IF(ISERROR(SQRT(X82)),-SQRT(-X82),SQRT(X82))</f>
        <v>#NUM!</v>
      </c>
      <c r="Z85" s="14"/>
      <c r="AA85" s="14"/>
      <c r="AB85" s="36"/>
    </row>
    <row r="86" spans="1:29" x14ac:dyDescent="0.25">
      <c r="U86" s="15" t="s">
        <v>61</v>
      </c>
      <c r="V86" s="35" t="e">
        <f>SQRT(Y76)</f>
        <v>#NUM!</v>
      </c>
      <c r="W86" s="35" t="e">
        <f>SQRT(Y74*V86^2/CHIINV((100-$D$23)/100/2,Y74))</f>
        <v>#NUM!</v>
      </c>
      <c r="X86" s="35" t="e">
        <f>SQRT(Y74*V86^2/CHIINV(1-(100-$D$23)/100/2,Y74))</f>
        <v>#NUM!</v>
      </c>
      <c r="Z86" s="14"/>
      <c r="AA86" s="36"/>
      <c r="AB86" s="36"/>
    </row>
    <row r="87" spans="1:29" x14ac:dyDescent="0.25">
      <c r="A87" s="14"/>
      <c r="B87" s="14"/>
      <c r="C87" s="14"/>
      <c r="D87" s="14"/>
      <c r="U87" s="15" t="str">
        <f>"Error for mean of "&amp;W66&amp;" trials"</f>
        <v>Error for mean of 2 trials</v>
      </c>
      <c r="V87" s="35" t="e">
        <f>V86/SQRT(W66)</f>
        <v>#NUM!</v>
      </c>
      <c r="W87" s="35" t="e">
        <f>W86/SQRT(W66)</f>
        <v>#NUM!</v>
      </c>
      <c r="X87" s="35" t="e">
        <f>X86/SQRT(W66)</f>
        <v>#NUM!</v>
      </c>
      <c r="Z87" s="14"/>
      <c r="AA87" s="36"/>
      <c r="AB87" s="36"/>
      <c r="AC87" s="36"/>
    </row>
    <row r="88" spans="1:29" x14ac:dyDescent="0.25">
      <c r="A88" s="14"/>
      <c r="B88" s="14"/>
      <c r="C88" s="14"/>
      <c r="D88" s="14"/>
      <c r="R88" s="13"/>
      <c r="S88" s="13"/>
      <c r="T88" s="13"/>
      <c r="X88" s="36"/>
      <c r="Y88" s="36"/>
      <c r="Z88" s="36"/>
      <c r="AA88" s="36"/>
      <c r="AB88" s="36"/>
      <c r="AC88" s="36"/>
    </row>
    <row r="89" spans="1:29" x14ac:dyDescent="0.25">
      <c r="D89" s="14"/>
      <c r="S89" s="13"/>
      <c r="X89" s="36"/>
      <c r="Y89" s="36"/>
      <c r="Z89" s="36"/>
      <c r="AA89" s="36"/>
      <c r="AB89" s="36"/>
      <c r="AC89" s="36"/>
    </row>
    <row r="90" spans="1:29" x14ac:dyDescent="0.25">
      <c r="X90" s="36"/>
      <c r="Y90" s="36"/>
      <c r="Z90" s="36"/>
      <c r="AA90" s="36"/>
      <c r="AB90" s="36"/>
      <c r="AC90" s="36"/>
    </row>
    <row r="91" spans="1:29" x14ac:dyDescent="0.25">
      <c r="X91" s="36"/>
      <c r="Y91" s="36"/>
      <c r="Z91" s="36"/>
      <c r="AA91" s="36"/>
      <c r="AB91" s="36"/>
      <c r="AC91" s="36"/>
    </row>
    <row r="92" spans="1:29" x14ac:dyDescent="0.25">
      <c r="X92" s="36"/>
      <c r="Y92" s="36"/>
      <c r="Z92" s="36"/>
      <c r="AA92" s="36"/>
      <c r="AB92" s="36"/>
      <c r="AC92" s="36"/>
    </row>
    <row r="93" spans="1:29" x14ac:dyDescent="0.25">
      <c r="X93" s="36"/>
      <c r="Y93" s="36"/>
      <c r="Z93" s="36"/>
      <c r="AA93" s="36"/>
      <c r="AB93" s="36"/>
      <c r="AC93" s="36"/>
    </row>
    <row r="94" spans="1:29" x14ac:dyDescent="0.25">
      <c r="X94" s="36"/>
      <c r="Y94" s="36"/>
      <c r="Z94" s="36"/>
      <c r="AA94" s="36"/>
      <c r="AB94" s="36"/>
      <c r="AC94" s="36"/>
    </row>
    <row r="95" spans="1:29" x14ac:dyDescent="0.25">
      <c r="X95" s="36"/>
      <c r="Y95" s="36"/>
      <c r="Z95" s="36"/>
      <c r="AA95" s="36"/>
      <c r="AB95" s="36"/>
      <c r="AC95" s="36"/>
    </row>
    <row r="96" spans="1:29" x14ac:dyDescent="0.25">
      <c r="X96" s="36"/>
      <c r="Y96" s="36"/>
      <c r="Z96" s="36"/>
      <c r="AA96" s="36"/>
      <c r="AB96" s="36"/>
      <c r="AC96" s="36"/>
    </row>
    <row r="97" spans="24:29" x14ac:dyDescent="0.25">
      <c r="X97" s="36"/>
      <c r="Y97" s="36"/>
      <c r="Z97" s="36"/>
      <c r="AA97" s="36"/>
      <c r="AB97" s="36"/>
      <c r="AC97" s="36"/>
    </row>
    <row r="98" spans="24:29" x14ac:dyDescent="0.25">
      <c r="X98" s="36"/>
      <c r="Y98" s="36"/>
      <c r="Z98" s="36"/>
      <c r="AA98" s="36"/>
      <c r="AB98" s="36"/>
      <c r="AC98" s="36"/>
    </row>
    <row r="99" spans="24:29" x14ac:dyDescent="0.25">
      <c r="X99" s="36"/>
      <c r="Z99" s="14"/>
      <c r="AA99" s="14"/>
      <c r="AB99" s="14"/>
      <c r="AC99" s="14"/>
    </row>
    <row r="100" spans="24:29" x14ac:dyDescent="0.25">
      <c r="Z100" s="14"/>
      <c r="AA100" s="14"/>
      <c r="AB100" s="14"/>
      <c r="AC100" s="14"/>
    </row>
    <row r="101" spans="24:29" x14ac:dyDescent="0.25">
      <c r="Z101" s="14"/>
      <c r="AA101" s="14"/>
      <c r="AB101" s="14"/>
      <c r="AC101" s="14"/>
    </row>
    <row r="102" spans="24:29" x14ac:dyDescent="0.25">
      <c r="Z102" s="14"/>
      <c r="AA102" s="14"/>
      <c r="AB102" s="14"/>
      <c r="AC102" s="14"/>
    </row>
    <row r="103" spans="24:29" x14ac:dyDescent="0.25">
      <c r="Z103" s="14"/>
      <c r="AA103" s="14"/>
      <c r="AB103" s="14"/>
      <c r="AC103" s="14"/>
    </row>
    <row r="104" spans="24:29" x14ac:dyDescent="0.25">
      <c r="Z104" s="14"/>
      <c r="AA104" s="14"/>
      <c r="AB104" s="14"/>
      <c r="AC104" s="14"/>
    </row>
    <row r="105" spans="24:29" x14ac:dyDescent="0.25">
      <c r="Z105" s="14"/>
      <c r="AA105" s="14"/>
      <c r="AB105" s="14"/>
      <c r="AC105" s="14"/>
    </row>
    <row r="106" spans="24:29" x14ac:dyDescent="0.25">
      <c r="Z106" s="14"/>
      <c r="AA106" s="14"/>
      <c r="AB106" s="14"/>
      <c r="AC106" s="14"/>
    </row>
    <row r="107" spans="24:29" x14ac:dyDescent="0.25">
      <c r="Z107" s="14"/>
      <c r="AA107" s="14"/>
      <c r="AB107" s="14"/>
      <c r="AC107" s="14"/>
    </row>
    <row r="108" spans="24:29" x14ac:dyDescent="0.25">
      <c r="Z108" s="14"/>
      <c r="AA108" s="14"/>
      <c r="AB108" s="14"/>
      <c r="AC108" s="14"/>
    </row>
    <row r="109" spans="24:29" x14ac:dyDescent="0.25">
      <c r="Z109" s="14"/>
      <c r="AA109" s="14"/>
      <c r="AB109" s="14"/>
      <c r="AC109" s="14"/>
    </row>
    <row r="110" spans="24:29" x14ac:dyDescent="0.25">
      <c r="Z110" s="14"/>
      <c r="AA110" s="14"/>
      <c r="AB110" s="14"/>
      <c r="AC110" s="14"/>
    </row>
    <row r="111" spans="24:29" x14ac:dyDescent="0.25">
      <c r="Z111" s="14"/>
      <c r="AA111" s="14"/>
      <c r="AB111" s="14"/>
      <c r="AC111" s="14"/>
    </row>
    <row r="112" spans="24:29" x14ac:dyDescent="0.25">
      <c r="Z112" s="14"/>
      <c r="AA112" s="14"/>
      <c r="AB112" s="14"/>
      <c r="AC112" s="14"/>
    </row>
    <row r="113" spans="26:29" x14ac:dyDescent="0.25">
      <c r="Z113" s="14"/>
      <c r="AA113" s="14"/>
      <c r="AB113" s="14"/>
      <c r="AC113" s="14"/>
    </row>
    <row r="114" spans="26:29" x14ac:dyDescent="0.25">
      <c r="Z114" s="14"/>
      <c r="AA114" s="14"/>
      <c r="AB114" s="14"/>
      <c r="AC114" s="14"/>
    </row>
    <row r="115" spans="26:29" x14ac:dyDescent="0.25">
      <c r="Z115" s="14"/>
      <c r="AA115" s="14"/>
      <c r="AB115" s="14"/>
      <c r="AC115" s="14"/>
    </row>
    <row r="116" spans="26:29" x14ac:dyDescent="0.25">
      <c r="Z116" s="14"/>
      <c r="AA116" s="14"/>
      <c r="AB116" s="14"/>
      <c r="AC116" s="14"/>
    </row>
    <row r="117" spans="26:29" x14ac:dyDescent="0.25">
      <c r="Z117" s="14"/>
      <c r="AA117" s="14"/>
      <c r="AB117" s="14"/>
      <c r="AC117" s="14"/>
    </row>
    <row r="118" spans="26:29" x14ac:dyDescent="0.25">
      <c r="Z118" s="14"/>
      <c r="AA118" s="14"/>
      <c r="AB118" s="14"/>
      <c r="AC118" s="14"/>
    </row>
    <row r="119" spans="26:29" x14ac:dyDescent="0.25">
      <c r="Z119" s="14"/>
      <c r="AA119" s="14"/>
      <c r="AB119" s="14"/>
      <c r="AC119" s="14"/>
    </row>
    <row r="120" spans="26:29" x14ac:dyDescent="0.25">
      <c r="Z120" s="14"/>
      <c r="AA120" s="14"/>
      <c r="AB120" s="14"/>
      <c r="AC120" s="14"/>
    </row>
    <row r="121" spans="26:29" x14ac:dyDescent="0.25">
      <c r="Z121" s="14"/>
      <c r="AA121" s="14"/>
      <c r="AB121" s="14"/>
      <c r="AC121" s="14"/>
    </row>
    <row r="122" spans="26:29" x14ac:dyDescent="0.25">
      <c r="Z122" s="14"/>
      <c r="AA122" s="14"/>
      <c r="AB122" s="14"/>
      <c r="AC122" s="14"/>
    </row>
    <row r="123" spans="26:29" x14ac:dyDescent="0.25">
      <c r="Z123" s="14"/>
      <c r="AA123" s="14"/>
      <c r="AB123" s="14"/>
      <c r="AC123" s="14"/>
    </row>
    <row r="124" spans="26:29" x14ac:dyDescent="0.25">
      <c r="Z124" s="14"/>
      <c r="AA124" s="14"/>
      <c r="AB124" s="14"/>
      <c r="AC124" s="14"/>
    </row>
    <row r="125" spans="26:29" x14ac:dyDescent="0.25">
      <c r="Z125" s="14"/>
      <c r="AA125" s="14"/>
      <c r="AB125" s="14"/>
      <c r="AC125" s="14"/>
    </row>
    <row r="126" spans="26:29" x14ac:dyDescent="0.25">
      <c r="Z126" s="14"/>
      <c r="AA126" s="14"/>
      <c r="AB126" s="14"/>
      <c r="AC126" s="14"/>
    </row>
    <row r="127" spans="26:29" x14ac:dyDescent="0.25">
      <c r="Z127" s="14"/>
      <c r="AA127" s="14"/>
      <c r="AB127" s="14"/>
      <c r="AC127" s="14"/>
    </row>
    <row r="128" spans="26:29" x14ac:dyDescent="0.25">
      <c r="Z128" s="14"/>
      <c r="AA128" s="14"/>
      <c r="AB128" s="14"/>
      <c r="AC128" s="14"/>
    </row>
    <row r="129" spans="26:29" x14ac:dyDescent="0.25">
      <c r="Z129" s="14"/>
      <c r="AA129" s="14"/>
      <c r="AB129" s="14"/>
      <c r="AC129" s="14"/>
    </row>
    <row r="130" spans="26:29" x14ac:dyDescent="0.25">
      <c r="Z130" s="14"/>
      <c r="AA130" s="14"/>
      <c r="AB130" s="14"/>
      <c r="AC130" s="14"/>
    </row>
    <row r="131" spans="26:29" x14ac:dyDescent="0.25">
      <c r="Z131" s="14"/>
      <c r="AA131" s="14"/>
      <c r="AB131" s="14"/>
      <c r="AC131" s="14"/>
    </row>
    <row r="132" spans="26:29" x14ac:dyDescent="0.25">
      <c r="Z132" s="14"/>
      <c r="AA132" s="14"/>
      <c r="AB132" s="14"/>
      <c r="AC132" s="14"/>
    </row>
    <row r="133" spans="26:29" x14ac:dyDescent="0.25">
      <c r="Z133" s="14"/>
      <c r="AA133" s="14"/>
      <c r="AB133" s="14"/>
      <c r="AC133" s="14"/>
    </row>
    <row r="134" spans="26:29" x14ac:dyDescent="0.25">
      <c r="Z134" s="14"/>
      <c r="AA134" s="14"/>
      <c r="AB134" s="14"/>
      <c r="AC134" s="14"/>
    </row>
    <row r="135" spans="26:29" x14ac:dyDescent="0.25">
      <c r="Z135" s="14"/>
      <c r="AA135" s="14"/>
      <c r="AB135" s="14"/>
      <c r="AC135" s="14"/>
    </row>
    <row r="136" spans="26:29" x14ac:dyDescent="0.25">
      <c r="Z136" s="14"/>
      <c r="AA136" s="14"/>
      <c r="AB136" s="14"/>
      <c r="AC136" s="14"/>
    </row>
    <row r="137" spans="26:29" x14ac:dyDescent="0.25">
      <c r="Z137" s="14"/>
      <c r="AA137" s="14"/>
      <c r="AB137" s="14"/>
      <c r="AC137" s="14"/>
    </row>
    <row r="138" spans="26:29" x14ac:dyDescent="0.25">
      <c r="Z138" s="14"/>
      <c r="AA138" s="14"/>
      <c r="AB138" s="14"/>
      <c r="AC138" s="14"/>
    </row>
  </sheetData>
  <mergeCells count="1">
    <mergeCell ref="B2:C2"/>
  </mergeCells>
  <pageMargins left="0.75" right="0.75" top="1" bottom="1" header="0.5" footer="0.5"/>
  <pageSetup paperSize="9" orientation="portrait" horizontalDpi="1200" verticalDpi="1200"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85"/>
  <sheetViews>
    <sheetView zoomScale="90" zoomScaleNormal="90" workbookViewId="0"/>
  </sheetViews>
  <sheetFormatPr defaultRowHeight="13.2" x14ac:dyDescent="0.25"/>
  <cols>
    <col min="1" max="1" width="2.33203125" style="13" customWidth="1"/>
    <col min="2" max="2" width="19" style="13" customWidth="1"/>
    <col min="3" max="3" width="7.109375" style="13" customWidth="1"/>
    <col min="4" max="4" width="7.88671875" style="13" customWidth="1"/>
    <col min="5" max="14" width="7.88671875" style="14" customWidth="1"/>
    <col min="15" max="17" width="6.6640625" style="14" customWidth="1"/>
    <col min="18" max="18" width="7.33203125" style="14" customWidth="1"/>
    <col min="19" max="19" width="6.6640625" style="14" customWidth="1"/>
    <col min="20" max="20" width="8.33203125" style="14" customWidth="1"/>
    <col min="21" max="21" width="6.6640625" style="14" customWidth="1"/>
    <col min="22" max="24" width="7.5546875" style="14" customWidth="1"/>
    <col min="25" max="25" width="6.6640625" style="14" customWidth="1"/>
    <col min="26" max="256" width="8.88671875" style="13"/>
    <col min="257" max="257" width="2.33203125" style="13" customWidth="1"/>
    <col min="258" max="258" width="19" style="13" customWidth="1"/>
    <col min="259" max="259" width="7.109375" style="13" customWidth="1"/>
    <col min="260" max="270" width="7.88671875" style="13" customWidth="1"/>
    <col min="271" max="273" width="6.6640625" style="13" customWidth="1"/>
    <col min="274" max="274" width="7.33203125" style="13" customWidth="1"/>
    <col min="275" max="275" width="6.6640625" style="13" customWidth="1"/>
    <col min="276" max="276" width="8.33203125" style="13" customWidth="1"/>
    <col min="277" max="277" width="6.6640625" style="13" customWidth="1"/>
    <col min="278" max="280" width="7.5546875" style="13" customWidth="1"/>
    <col min="281" max="281" width="6.6640625" style="13" customWidth="1"/>
    <col min="282" max="512" width="8.88671875" style="13"/>
    <col min="513" max="513" width="2.33203125" style="13" customWidth="1"/>
    <col min="514" max="514" width="19" style="13" customWidth="1"/>
    <col min="515" max="515" width="7.109375" style="13" customWidth="1"/>
    <col min="516" max="526" width="7.88671875" style="13" customWidth="1"/>
    <col min="527" max="529" width="6.6640625" style="13" customWidth="1"/>
    <col min="530" max="530" width="7.33203125" style="13" customWidth="1"/>
    <col min="531" max="531" width="6.6640625" style="13" customWidth="1"/>
    <col min="532" max="532" width="8.33203125" style="13" customWidth="1"/>
    <col min="533" max="533" width="6.6640625" style="13" customWidth="1"/>
    <col min="534" max="536" width="7.5546875" style="13" customWidth="1"/>
    <col min="537" max="537" width="6.6640625" style="13" customWidth="1"/>
    <col min="538" max="768" width="8.88671875" style="13"/>
    <col min="769" max="769" width="2.33203125" style="13" customWidth="1"/>
    <col min="770" max="770" width="19" style="13" customWidth="1"/>
    <col min="771" max="771" width="7.109375" style="13" customWidth="1"/>
    <col min="772" max="782" width="7.88671875" style="13" customWidth="1"/>
    <col min="783" max="785" width="6.6640625" style="13" customWidth="1"/>
    <col min="786" max="786" width="7.33203125" style="13" customWidth="1"/>
    <col min="787" max="787" width="6.6640625" style="13" customWidth="1"/>
    <col min="788" max="788" width="8.33203125" style="13" customWidth="1"/>
    <col min="789" max="789" width="6.6640625" style="13" customWidth="1"/>
    <col min="790" max="792" width="7.5546875" style="13" customWidth="1"/>
    <col min="793" max="793" width="6.6640625" style="13" customWidth="1"/>
    <col min="794" max="1024" width="8.88671875" style="13"/>
    <col min="1025" max="1025" width="2.33203125" style="13" customWidth="1"/>
    <col min="1026" max="1026" width="19" style="13" customWidth="1"/>
    <col min="1027" max="1027" width="7.109375" style="13" customWidth="1"/>
    <col min="1028" max="1038" width="7.88671875" style="13" customWidth="1"/>
    <col min="1039" max="1041" width="6.6640625" style="13" customWidth="1"/>
    <col min="1042" max="1042" width="7.33203125" style="13" customWidth="1"/>
    <col min="1043" max="1043" width="6.6640625" style="13" customWidth="1"/>
    <col min="1044" max="1044" width="8.33203125" style="13" customWidth="1"/>
    <col min="1045" max="1045" width="6.6640625" style="13" customWidth="1"/>
    <col min="1046" max="1048" width="7.5546875" style="13" customWidth="1"/>
    <col min="1049" max="1049" width="6.6640625" style="13" customWidth="1"/>
    <col min="1050" max="1280" width="8.88671875" style="13"/>
    <col min="1281" max="1281" width="2.33203125" style="13" customWidth="1"/>
    <col min="1282" max="1282" width="19" style="13" customWidth="1"/>
    <col min="1283" max="1283" width="7.109375" style="13" customWidth="1"/>
    <col min="1284" max="1294" width="7.88671875" style="13" customWidth="1"/>
    <col min="1295" max="1297" width="6.6640625" style="13" customWidth="1"/>
    <col min="1298" max="1298" width="7.33203125" style="13" customWidth="1"/>
    <col min="1299" max="1299" width="6.6640625" style="13" customWidth="1"/>
    <col min="1300" max="1300" width="8.33203125" style="13" customWidth="1"/>
    <col min="1301" max="1301" width="6.6640625" style="13" customWidth="1"/>
    <col min="1302" max="1304" width="7.5546875" style="13" customWidth="1"/>
    <col min="1305" max="1305" width="6.6640625" style="13" customWidth="1"/>
    <col min="1306" max="1536" width="8.88671875" style="13"/>
    <col min="1537" max="1537" width="2.33203125" style="13" customWidth="1"/>
    <col min="1538" max="1538" width="19" style="13" customWidth="1"/>
    <col min="1539" max="1539" width="7.109375" style="13" customWidth="1"/>
    <col min="1540" max="1550" width="7.88671875" style="13" customWidth="1"/>
    <col min="1551" max="1553" width="6.6640625" style="13" customWidth="1"/>
    <col min="1554" max="1554" width="7.33203125" style="13" customWidth="1"/>
    <col min="1555" max="1555" width="6.6640625" style="13" customWidth="1"/>
    <col min="1556" max="1556" width="8.33203125" style="13" customWidth="1"/>
    <col min="1557" max="1557" width="6.6640625" style="13" customWidth="1"/>
    <col min="1558" max="1560" width="7.5546875" style="13" customWidth="1"/>
    <col min="1561" max="1561" width="6.6640625" style="13" customWidth="1"/>
    <col min="1562" max="1792" width="8.88671875" style="13"/>
    <col min="1793" max="1793" width="2.33203125" style="13" customWidth="1"/>
    <col min="1794" max="1794" width="19" style="13" customWidth="1"/>
    <col min="1795" max="1795" width="7.109375" style="13" customWidth="1"/>
    <col min="1796" max="1806" width="7.88671875" style="13" customWidth="1"/>
    <col min="1807" max="1809" width="6.6640625" style="13" customWidth="1"/>
    <col min="1810" max="1810" width="7.33203125" style="13" customWidth="1"/>
    <col min="1811" max="1811" width="6.6640625" style="13" customWidth="1"/>
    <col min="1812" max="1812" width="8.33203125" style="13" customWidth="1"/>
    <col min="1813" max="1813" width="6.6640625" style="13" customWidth="1"/>
    <col min="1814" max="1816" width="7.5546875" style="13" customWidth="1"/>
    <col min="1817" max="1817" width="6.6640625" style="13" customWidth="1"/>
    <col min="1818" max="2048" width="8.88671875" style="13"/>
    <col min="2049" max="2049" width="2.33203125" style="13" customWidth="1"/>
    <col min="2050" max="2050" width="19" style="13" customWidth="1"/>
    <col min="2051" max="2051" width="7.109375" style="13" customWidth="1"/>
    <col min="2052" max="2062" width="7.88671875" style="13" customWidth="1"/>
    <col min="2063" max="2065" width="6.6640625" style="13" customWidth="1"/>
    <col min="2066" max="2066" width="7.33203125" style="13" customWidth="1"/>
    <col min="2067" max="2067" width="6.6640625" style="13" customWidth="1"/>
    <col min="2068" max="2068" width="8.33203125" style="13" customWidth="1"/>
    <col min="2069" max="2069" width="6.6640625" style="13" customWidth="1"/>
    <col min="2070" max="2072" width="7.5546875" style="13" customWidth="1"/>
    <col min="2073" max="2073" width="6.6640625" style="13" customWidth="1"/>
    <col min="2074" max="2304" width="8.88671875" style="13"/>
    <col min="2305" max="2305" width="2.33203125" style="13" customWidth="1"/>
    <col min="2306" max="2306" width="19" style="13" customWidth="1"/>
    <col min="2307" max="2307" width="7.109375" style="13" customWidth="1"/>
    <col min="2308" max="2318" width="7.88671875" style="13" customWidth="1"/>
    <col min="2319" max="2321" width="6.6640625" style="13" customWidth="1"/>
    <col min="2322" max="2322" width="7.33203125" style="13" customWidth="1"/>
    <col min="2323" max="2323" width="6.6640625" style="13" customWidth="1"/>
    <col min="2324" max="2324" width="8.33203125" style="13" customWidth="1"/>
    <col min="2325" max="2325" width="6.6640625" style="13" customWidth="1"/>
    <col min="2326" max="2328" width="7.5546875" style="13" customWidth="1"/>
    <col min="2329" max="2329" width="6.6640625" style="13" customWidth="1"/>
    <col min="2330" max="2560" width="8.88671875" style="13"/>
    <col min="2561" max="2561" width="2.33203125" style="13" customWidth="1"/>
    <col min="2562" max="2562" width="19" style="13" customWidth="1"/>
    <col min="2563" max="2563" width="7.109375" style="13" customWidth="1"/>
    <col min="2564" max="2574" width="7.88671875" style="13" customWidth="1"/>
    <col min="2575" max="2577" width="6.6640625" style="13" customWidth="1"/>
    <col min="2578" max="2578" width="7.33203125" style="13" customWidth="1"/>
    <col min="2579" max="2579" width="6.6640625" style="13" customWidth="1"/>
    <col min="2580" max="2580" width="8.33203125" style="13" customWidth="1"/>
    <col min="2581" max="2581" width="6.6640625" style="13" customWidth="1"/>
    <col min="2582" max="2584" width="7.5546875" style="13" customWidth="1"/>
    <col min="2585" max="2585" width="6.6640625" style="13" customWidth="1"/>
    <col min="2586" max="2816" width="8.88671875" style="13"/>
    <col min="2817" max="2817" width="2.33203125" style="13" customWidth="1"/>
    <col min="2818" max="2818" width="19" style="13" customWidth="1"/>
    <col min="2819" max="2819" width="7.109375" style="13" customWidth="1"/>
    <col min="2820" max="2830" width="7.88671875" style="13" customWidth="1"/>
    <col min="2831" max="2833" width="6.6640625" style="13" customWidth="1"/>
    <col min="2834" max="2834" width="7.33203125" style="13" customWidth="1"/>
    <col min="2835" max="2835" width="6.6640625" style="13" customWidth="1"/>
    <col min="2836" max="2836" width="8.33203125" style="13" customWidth="1"/>
    <col min="2837" max="2837" width="6.6640625" style="13" customWidth="1"/>
    <col min="2838" max="2840" width="7.5546875" style="13" customWidth="1"/>
    <col min="2841" max="2841" width="6.6640625" style="13" customWidth="1"/>
    <col min="2842" max="3072" width="8.88671875" style="13"/>
    <col min="3073" max="3073" width="2.33203125" style="13" customWidth="1"/>
    <col min="3074" max="3074" width="19" style="13" customWidth="1"/>
    <col min="3075" max="3075" width="7.109375" style="13" customWidth="1"/>
    <col min="3076" max="3086" width="7.88671875" style="13" customWidth="1"/>
    <col min="3087" max="3089" width="6.6640625" style="13" customWidth="1"/>
    <col min="3090" max="3090" width="7.33203125" style="13" customWidth="1"/>
    <col min="3091" max="3091" width="6.6640625" style="13" customWidth="1"/>
    <col min="3092" max="3092" width="8.33203125" style="13" customWidth="1"/>
    <col min="3093" max="3093" width="6.6640625" style="13" customWidth="1"/>
    <col min="3094" max="3096" width="7.5546875" style="13" customWidth="1"/>
    <col min="3097" max="3097" width="6.6640625" style="13" customWidth="1"/>
    <col min="3098" max="3328" width="8.88671875" style="13"/>
    <col min="3329" max="3329" width="2.33203125" style="13" customWidth="1"/>
    <col min="3330" max="3330" width="19" style="13" customWidth="1"/>
    <col min="3331" max="3331" width="7.109375" style="13" customWidth="1"/>
    <col min="3332" max="3342" width="7.88671875" style="13" customWidth="1"/>
    <col min="3343" max="3345" width="6.6640625" style="13" customWidth="1"/>
    <col min="3346" max="3346" width="7.33203125" style="13" customWidth="1"/>
    <col min="3347" max="3347" width="6.6640625" style="13" customWidth="1"/>
    <col min="3348" max="3348" width="8.33203125" style="13" customWidth="1"/>
    <col min="3349" max="3349" width="6.6640625" style="13" customWidth="1"/>
    <col min="3350" max="3352" width="7.5546875" style="13" customWidth="1"/>
    <col min="3353" max="3353" width="6.6640625" style="13" customWidth="1"/>
    <col min="3354" max="3584" width="8.88671875" style="13"/>
    <col min="3585" max="3585" width="2.33203125" style="13" customWidth="1"/>
    <col min="3586" max="3586" width="19" style="13" customWidth="1"/>
    <col min="3587" max="3587" width="7.109375" style="13" customWidth="1"/>
    <col min="3588" max="3598" width="7.88671875" style="13" customWidth="1"/>
    <col min="3599" max="3601" width="6.6640625" style="13" customWidth="1"/>
    <col min="3602" max="3602" width="7.33203125" style="13" customWidth="1"/>
    <col min="3603" max="3603" width="6.6640625" style="13" customWidth="1"/>
    <col min="3604" max="3604" width="8.33203125" style="13" customWidth="1"/>
    <col min="3605" max="3605" width="6.6640625" style="13" customWidth="1"/>
    <col min="3606" max="3608" width="7.5546875" style="13" customWidth="1"/>
    <col min="3609" max="3609" width="6.6640625" style="13" customWidth="1"/>
    <col min="3610" max="3840" width="8.88671875" style="13"/>
    <col min="3841" max="3841" width="2.33203125" style="13" customWidth="1"/>
    <col min="3842" max="3842" width="19" style="13" customWidth="1"/>
    <col min="3843" max="3843" width="7.109375" style="13" customWidth="1"/>
    <col min="3844" max="3854" width="7.88671875" style="13" customWidth="1"/>
    <col min="3855" max="3857" width="6.6640625" style="13" customWidth="1"/>
    <col min="3858" max="3858" width="7.33203125" style="13" customWidth="1"/>
    <col min="3859" max="3859" width="6.6640625" style="13" customWidth="1"/>
    <col min="3860" max="3860" width="8.33203125" style="13" customWidth="1"/>
    <col min="3861" max="3861" width="6.6640625" style="13" customWidth="1"/>
    <col min="3862" max="3864" width="7.5546875" style="13" customWidth="1"/>
    <col min="3865" max="3865" width="6.6640625" style="13" customWidth="1"/>
    <col min="3866" max="4096" width="8.88671875" style="13"/>
    <col min="4097" max="4097" width="2.33203125" style="13" customWidth="1"/>
    <col min="4098" max="4098" width="19" style="13" customWidth="1"/>
    <col min="4099" max="4099" width="7.109375" style="13" customWidth="1"/>
    <col min="4100" max="4110" width="7.88671875" style="13" customWidth="1"/>
    <col min="4111" max="4113" width="6.6640625" style="13" customWidth="1"/>
    <col min="4114" max="4114" width="7.33203125" style="13" customWidth="1"/>
    <col min="4115" max="4115" width="6.6640625" style="13" customWidth="1"/>
    <col min="4116" max="4116" width="8.33203125" style="13" customWidth="1"/>
    <col min="4117" max="4117" width="6.6640625" style="13" customWidth="1"/>
    <col min="4118" max="4120" width="7.5546875" style="13" customWidth="1"/>
    <col min="4121" max="4121" width="6.6640625" style="13" customWidth="1"/>
    <col min="4122" max="4352" width="8.88671875" style="13"/>
    <col min="4353" max="4353" width="2.33203125" style="13" customWidth="1"/>
    <col min="4354" max="4354" width="19" style="13" customWidth="1"/>
    <col min="4355" max="4355" width="7.109375" style="13" customWidth="1"/>
    <col min="4356" max="4366" width="7.88671875" style="13" customWidth="1"/>
    <col min="4367" max="4369" width="6.6640625" style="13" customWidth="1"/>
    <col min="4370" max="4370" width="7.33203125" style="13" customWidth="1"/>
    <col min="4371" max="4371" width="6.6640625" style="13" customWidth="1"/>
    <col min="4372" max="4372" width="8.33203125" style="13" customWidth="1"/>
    <col min="4373" max="4373" width="6.6640625" style="13" customWidth="1"/>
    <col min="4374" max="4376" width="7.5546875" style="13" customWidth="1"/>
    <col min="4377" max="4377" width="6.6640625" style="13" customWidth="1"/>
    <col min="4378" max="4608" width="8.88671875" style="13"/>
    <col min="4609" max="4609" width="2.33203125" style="13" customWidth="1"/>
    <col min="4610" max="4610" width="19" style="13" customWidth="1"/>
    <col min="4611" max="4611" width="7.109375" style="13" customWidth="1"/>
    <col min="4612" max="4622" width="7.88671875" style="13" customWidth="1"/>
    <col min="4623" max="4625" width="6.6640625" style="13" customWidth="1"/>
    <col min="4626" max="4626" width="7.33203125" style="13" customWidth="1"/>
    <col min="4627" max="4627" width="6.6640625" style="13" customWidth="1"/>
    <col min="4628" max="4628" width="8.33203125" style="13" customWidth="1"/>
    <col min="4629" max="4629" width="6.6640625" style="13" customWidth="1"/>
    <col min="4630" max="4632" width="7.5546875" style="13" customWidth="1"/>
    <col min="4633" max="4633" width="6.6640625" style="13" customWidth="1"/>
    <col min="4634" max="4864" width="8.88671875" style="13"/>
    <col min="4865" max="4865" width="2.33203125" style="13" customWidth="1"/>
    <col min="4866" max="4866" width="19" style="13" customWidth="1"/>
    <col min="4867" max="4867" width="7.109375" style="13" customWidth="1"/>
    <col min="4868" max="4878" width="7.88671875" style="13" customWidth="1"/>
    <col min="4879" max="4881" width="6.6640625" style="13" customWidth="1"/>
    <col min="4882" max="4882" width="7.33203125" style="13" customWidth="1"/>
    <col min="4883" max="4883" width="6.6640625" style="13" customWidth="1"/>
    <col min="4884" max="4884" width="8.33203125" style="13" customWidth="1"/>
    <col min="4885" max="4885" width="6.6640625" style="13" customWidth="1"/>
    <col min="4886" max="4888" width="7.5546875" style="13" customWidth="1"/>
    <col min="4889" max="4889" width="6.6640625" style="13" customWidth="1"/>
    <col min="4890" max="5120" width="8.88671875" style="13"/>
    <col min="5121" max="5121" width="2.33203125" style="13" customWidth="1"/>
    <col min="5122" max="5122" width="19" style="13" customWidth="1"/>
    <col min="5123" max="5123" width="7.109375" style="13" customWidth="1"/>
    <col min="5124" max="5134" width="7.88671875" style="13" customWidth="1"/>
    <col min="5135" max="5137" width="6.6640625" style="13" customWidth="1"/>
    <col min="5138" max="5138" width="7.33203125" style="13" customWidth="1"/>
    <col min="5139" max="5139" width="6.6640625" style="13" customWidth="1"/>
    <col min="5140" max="5140" width="8.33203125" style="13" customWidth="1"/>
    <col min="5141" max="5141" width="6.6640625" style="13" customWidth="1"/>
    <col min="5142" max="5144" width="7.5546875" style="13" customWidth="1"/>
    <col min="5145" max="5145" width="6.6640625" style="13" customWidth="1"/>
    <col min="5146" max="5376" width="8.88671875" style="13"/>
    <col min="5377" max="5377" width="2.33203125" style="13" customWidth="1"/>
    <col min="5378" max="5378" width="19" style="13" customWidth="1"/>
    <col min="5379" max="5379" width="7.109375" style="13" customWidth="1"/>
    <col min="5380" max="5390" width="7.88671875" style="13" customWidth="1"/>
    <col min="5391" max="5393" width="6.6640625" style="13" customWidth="1"/>
    <col min="5394" max="5394" width="7.33203125" style="13" customWidth="1"/>
    <col min="5395" max="5395" width="6.6640625" style="13" customWidth="1"/>
    <col min="5396" max="5396" width="8.33203125" style="13" customWidth="1"/>
    <col min="5397" max="5397" width="6.6640625" style="13" customWidth="1"/>
    <col min="5398" max="5400" width="7.5546875" style="13" customWidth="1"/>
    <col min="5401" max="5401" width="6.6640625" style="13" customWidth="1"/>
    <col min="5402" max="5632" width="8.88671875" style="13"/>
    <col min="5633" max="5633" width="2.33203125" style="13" customWidth="1"/>
    <col min="5634" max="5634" width="19" style="13" customWidth="1"/>
    <col min="5635" max="5635" width="7.109375" style="13" customWidth="1"/>
    <col min="5636" max="5646" width="7.88671875" style="13" customWidth="1"/>
    <col min="5647" max="5649" width="6.6640625" style="13" customWidth="1"/>
    <col min="5650" max="5650" width="7.33203125" style="13" customWidth="1"/>
    <col min="5651" max="5651" width="6.6640625" style="13" customWidth="1"/>
    <col min="5652" max="5652" width="8.33203125" style="13" customWidth="1"/>
    <col min="5653" max="5653" width="6.6640625" style="13" customWidth="1"/>
    <col min="5654" max="5656" width="7.5546875" style="13" customWidth="1"/>
    <col min="5657" max="5657" width="6.6640625" style="13" customWidth="1"/>
    <col min="5658" max="5888" width="8.88671875" style="13"/>
    <col min="5889" max="5889" width="2.33203125" style="13" customWidth="1"/>
    <col min="5890" max="5890" width="19" style="13" customWidth="1"/>
    <col min="5891" max="5891" width="7.109375" style="13" customWidth="1"/>
    <col min="5892" max="5902" width="7.88671875" style="13" customWidth="1"/>
    <col min="5903" max="5905" width="6.6640625" style="13" customWidth="1"/>
    <col min="5906" max="5906" width="7.33203125" style="13" customWidth="1"/>
    <col min="5907" max="5907" width="6.6640625" style="13" customWidth="1"/>
    <col min="5908" max="5908" width="8.33203125" style="13" customWidth="1"/>
    <col min="5909" max="5909" width="6.6640625" style="13" customWidth="1"/>
    <col min="5910" max="5912" width="7.5546875" style="13" customWidth="1"/>
    <col min="5913" max="5913" width="6.6640625" style="13" customWidth="1"/>
    <col min="5914" max="6144" width="8.88671875" style="13"/>
    <col min="6145" max="6145" width="2.33203125" style="13" customWidth="1"/>
    <col min="6146" max="6146" width="19" style="13" customWidth="1"/>
    <col min="6147" max="6147" width="7.109375" style="13" customWidth="1"/>
    <col min="6148" max="6158" width="7.88671875" style="13" customWidth="1"/>
    <col min="6159" max="6161" width="6.6640625" style="13" customWidth="1"/>
    <col min="6162" max="6162" width="7.33203125" style="13" customWidth="1"/>
    <col min="6163" max="6163" width="6.6640625" style="13" customWidth="1"/>
    <col min="6164" max="6164" width="8.33203125" style="13" customWidth="1"/>
    <col min="6165" max="6165" width="6.6640625" style="13" customWidth="1"/>
    <col min="6166" max="6168" width="7.5546875" style="13" customWidth="1"/>
    <col min="6169" max="6169" width="6.6640625" style="13" customWidth="1"/>
    <col min="6170" max="6400" width="8.88671875" style="13"/>
    <col min="6401" max="6401" width="2.33203125" style="13" customWidth="1"/>
    <col min="6402" max="6402" width="19" style="13" customWidth="1"/>
    <col min="6403" max="6403" width="7.109375" style="13" customWidth="1"/>
    <col min="6404" max="6414" width="7.88671875" style="13" customWidth="1"/>
    <col min="6415" max="6417" width="6.6640625" style="13" customWidth="1"/>
    <col min="6418" max="6418" width="7.33203125" style="13" customWidth="1"/>
    <col min="6419" max="6419" width="6.6640625" style="13" customWidth="1"/>
    <col min="6420" max="6420" width="8.33203125" style="13" customWidth="1"/>
    <col min="6421" max="6421" width="6.6640625" style="13" customWidth="1"/>
    <col min="6422" max="6424" width="7.5546875" style="13" customWidth="1"/>
    <col min="6425" max="6425" width="6.6640625" style="13" customWidth="1"/>
    <col min="6426" max="6656" width="8.88671875" style="13"/>
    <col min="6657" max="6657" width="2.33203125" style="13" customWidth="1"/>
    <col min="6658" max="6658" width="19" style="13" customWidth="1"/>
    <col min="6659" max="6659" width="7.109375" style="13" customWidth="1"/>
    <col min="6660" max="6670" width="7.88671875" style="13" customWidth="1"/>
    <col min="6671" max="6673" width="6.6640625" style="13" customWidth="1"/>
    <col min="6674" max="6674" width="7.33203125" style="13" customWidth="1"/>
    <col min="6675" max="6675" width="6.6640625" style="13" customWidth="1"/>
    <col min="6676" max="6676" width="8.33203125" style="13" customWidth="1"/>
    <col min="6677" max="6677" width="6.6640625" style="13" customWidth="1"/>
    <col min="6678" max="6680" width="7.5546875" style="13" customWidth="1"/>
    <col min="6681" max="6681" width="6.6640625" style="13" customWidth="1"/>
    <col min="6682" max="6912" width="8.88671875" style="13"/>
    <col min="6913" max="6913" width="2.33203125" style="13" customWidth="1"/>
    <col min="6914" max="6914" width="19" style="13" customWidth="1"/>
    <col min="6915" max="6915" width="7.109375" style="13" customWidth="1"/>
    <col min="6916" max="6926" width="7.88671875" style="13" customWidth="1"/>
    <col min="6927" max="6929" width="6.6640625" style="13" customWidth="1"/>
    <col min="6930" max="6930" width="7.33203125" style="13" customWidth="1"/>
    <col min="6931" max="6931" width="6.6640625" style="13" customWidth="1"/>
    <col min="6932" max="6932" width="8.33203125" style="13" customWidth="1"/>
    <col min="6933" max="6933" width="6.6640625" style="13" customWidth="1"/>
    <col min="6934" max="6936" width="7.5546875" style="13" customWidth="1"/>
    <col min="6937" max="6937" width="6.6640625" style="13" customWidth="1"/>
    <col min="6938" max="7168" width="8.88671875" style="13"/>
    <col min="7169" max="7169" width="2.33203125" style="13" customWidth="1"/>
    <col min="7170" max="7170" width="19" style="13" customWidth="1"/>
    <col min="7171" max="7171" width="7.109375" style="13" customWidth="1"/>
    <col min="7172" max="7182" width="7.88671875" style="13" customWidth="1"/>
    <col min="7183" max="7185" width="6.6640625" style="13" customWidth="1"/>
    <col min="7186" max="7186" width="7.33203125" style="13" customWidth="1"/>
    <col min="7187" max="7187" width="6.6640625" style="13" customWidth="1"/>
    <col min="7188" max="7188" width="8.33203125" style="13" customWidth="1"/>
    <col min="7189" max="7189" width="6.6640625" style="13" customWidth="1"/>
    <col min="7190" max="7192" width="7.5546875" style="13" customWidth="1"/>
    <col min="7193" max="7193" width="6.6640625" style="13" customWidth="1"/>
    <col min="7194" max="7424" width="8.88671875" style="13"/>
    <col min="7425" max="7425" width="2.33203125" style="13" customWidth="1"/>
    <col min="7426" max="7426" width="19" style="13" customWidth="1"/>
    <col min="7427" max="7427" width="7.109375" style="13" customWidth="1"/>
    <col min="7428" max="7438" width="7.88671875" style="13" customWidth="1"/>
    <col min="7439" max="7441" width="6.6640625" style="13" customWidth="1"/>
    <col min="7442" max="7442" width="7.33203125" style="13" customWidth="1"/>
    <col min="7443" max="7443" width="6.6640625" style="13" customWidth="1"/>
    <col min="7444" max="7444" width="8.33203125" style="13" customWidth="1"/>
    <col min="7445" max="7445" width="6.6640625" style="13" customWidth="1"/>
    <col min="7446" max="7448" width="7.5546875" style="13" customWidth="1"/>
    <col min="7449" max="7449" width="6.6640625" style="13" customWidth="1"/>
    <col min="7450" max="7680" width="8.88671875" style="13"/>
    <col min="7681" max="7681" width="2.33203125" style="13" customWidth="1"/>
    <col min="7682" max="7682" width="19" style="13" customWidth="1"/>
    <col min="7683" max="7683" width="7.109375" style="13" customWidth="1"/>
    <col min="7684" max="7694" width="7.88671875" style="13" customWidth="1"/>
    <col min="7695" max="7697" width="6.6640625" style="13" customWidth="1"/>
    <col min="7698" max="7698" width="7.33203125" style="13" customWidth="1"/>
    <col min="7699" max="7699" width="6.6640625" style="13" customWidth="1"/>
    <col min="7700" max="7700" width="8.33203125" style="13" customWidth="1"/>
    <col min="7701" max="7701" width="6.6640625" style="13" customWidth="1"/>
    <col min="7702" max="7704" width="7.5546875" style="13" customWidth="1"/>
    <col min="7705" max="7705" width="6.6640625" style="13" customWidth="1"/>
    <col min="7706" max="7936" width="8.88671875" style="13"/>
    <col min="7937" max="7937" width="2.33203125" style="13" customWidth="1"/>
    <col min="7938" max="7938" width="19" style="13" customWidth="1"/>
    <col min="7939" max="7939" width="7.109375" style="13" customWidth="1"/>
    <col min="7940" max="7950" width="7.88671875" style="13" customWidth="1"/>
    <col min="7951" max="7953" width="6.6640625" style="13" customWidth="1"/>
    <col min="7954" max="7954" width="7.33203125" style="13" customWidth="1"/>
    <col min="7955" max="7955" width="6.6640625" style="13" customWidth="1"/>
    <col min="7956" max="7956" width="8.33203125" style="13" customWidth="1"/>
    <col min="7957" max="7957" width="6.6640625" style="13" customWidth="1"/>
    <col min="7958" max="7960" width="7.5546875" style="13" customWidth="1"/>
    <col min="7961" max="7961" width="6.6640625" style="13" customWidth="1"/>
    <col min="7962" max="8192" width="8.88671875" style="13"/>
    <col min="8193" max="8193" width="2.33203125" style="13" customWidth="1"/>
    <col min="8194" max="8194" width="19" style="13" customWidth="1"/>
    <col min="8195" max="8195" width="7.109375" style="13" customWidth="1"/>
    <col min="8196" max="8206" width="7.88671875" style="13" customWidth="1"/>
    <col min="8207" max="8209" width="6.6640625" style="13" customWidth="1"/>
    <col min="8210" max="8210" width="7.33203125" style="13" customWidth="1"/>
    <col min="8211" max="8211" width="6.6640625" style="13" customWidth="1"/>
    <col min="8212" max="8212" width="8.33203125" style="13" customWidth="1"/>
    <col min="8213" max="8213" width="6.6640625" style="13" customWidth="1"/>
    <col min="8214" max="8216" width="7.5546875" style="13" customWidth="1"/>
    <col min="8217" max="8217" width="6.6640625" style="13" customWidth="1"/>
    <col min="8218" max="8448" width="8.88671875" style="13"/>
    <col min="8449" max="8449" width="2.33203125" style="13" customWidth="1"/>
    <col min="8450" max="8450" width="19" style="13" customWidth="1"/>
    <col min="8451" max="8451" width="7.109375" style="13" customWidth="1"/>
    <col min="8452" max="8462" width="7.88671875" style="13" customWidth="1"/>
    <col min="8463" max="8465" width="6.6640625" style="13" customWidth="1"/>
    <col min="8466" max="8466" width="7.33203125" style="13" customWidth="1"/>
    <col min="8467" max="8467" width="6.6640625" style="13" customWidth="1"/>
    <col min="8468" max="8468" width="8.33203125" style="13" customWidth="1"/>
    <col min="8469" max="8469" width="6.6640625" style="13" customWidth="1"/>
    <col min="8470" max="8472" width="7.5546875" style="13" customWidth="1"/>
    <col min="8473" max="8473" width="6.6640625" style="13" customWidth="1"/>
    <col min="8474" max="8704" width="8.88671875" style="13"/>
    <col min="8705" max="8705" width="2.33203125" style="13" customWidth="1"/>
    <col min="8706" max="8706" width="19" style="13" customWidth="1"/>
    <col min="8707" max="8707" width="7.109375" style="13" customWidth="1"/>
    <col min="8708" max="8718" width="7.88671875" style="13" customWidth="1"/>
    <col min="8719" max="8721" width="6.6640625" style="13" customWidth="1"/>
    <col min="8722" max="8722" width="7.33203125" style="13" customWidth="1"/>
    <col min="8723" max="8723" width="6.6640625" style="13" customWidth="1"/>
    <col min="8724" max="8724" width="8.33203125" style="13" customWidth="1"/>
    <col min="8725" max="8725" width="6.6640625" style="13" customWidth="1"/>
    <col min="8726" max="8728" width="7.5546875" style="13" customWidth="1"/>
    <col min="8729" max="8729" width="6.6640625" style="13" customWidth="1"/>
    <col min="8730" max="8960" width="8.88671875" style="13"/>
    <col min="8961" max="8961" width="2.33203125" style="13" customWidth="1"/>
    <col min="8962" max="8962" width="19" style="13" customWidth="1"/>
    <col min="8963" max="8963" width="7.109375" style="13" customWidth="1"/>
    <col min="8964" max="8974" width="7.88671875" style="13" customWidth="1"/>
    <col min="8975" max="8977" width="6.6640625" style="13" customWidth="1"/>
    <col min="8978" max="8978" width="7.33203125" style="13" customWidth="1"/>
    <col min="8979" max="8979" width="6.6640625" style="13" customWidth="1"/>
    <col min="8980" max="8980" width="8.33203125" style="13" customWidth="1"/>
    <col min="8981" max="8981" width="6.6640625" style="13" customWidth="1"/>
    <col min="8982" max="8984" width="7.5546875" style="13" customWidth="1"/>
    <col min="8985" max="8985" width="6.6640625" style="13" customWidth="1"/>
    <col min="8986" max="9216" width="8.88671875" style="13"/>
    <col min="9217" max="9217" width="2.33203125" style="13" customWidth="1"/>
    <col min="9218" max="9218" width="19" style="13" customWidth="1"/>
    <col min="9219" max="9219" width="7.109375" style="13" customWidth="1"/>
    <col min="9220" max="9230" width="7.88671875" style="13" customWidth="1"/>
    <col min="9231" max="9233" width="6.6640625" style="13" customWidth="1"/>
    <col min="9234" max="9234" width="7.33203125" style="13" customWidth="1"/>
    <col min="9235" max="9235" width="6.6640625" style="13" customWidth="1"/>
    <col min="9236" max="9236" width="8.33203125" style="13" customWidth="1"/>
    <col min="9237" max="9237" width="6.6640625" style="13" customWidth="1"/>
    <col min="9238" max="9240" width="7.5546875" style="13" customWidth="1"/>
    <col min="9241" max="9241" width="6.6640625" style="13" customWidth="1"/>
    <col min="9242" max="9472" width="8.88671875" style="13"/>
    <col min="9473" max="9473" width="2.33203125" style="13" customWidth="1"/>
    <col min="9474" max="9474" width="19" style="13" customWidth="1"/>
    <col min="9475" max="9475" width="7.109375" style="13" customWidth="1"/>
    <col min="9476" max="9486" width="7.88671875" style="13" customWidth="1"/>
    <col min="9487" max="9489" width="6.6640625" style="13" customWidth="1"/>
    <col min="9490" max="9490" width="7.33203125" style="13" customWidth="1"/>
    <col min="9491" max="9491" width="6.6640625" style="13" customWidth="1"/>
    <col min="9492" max="9492" width="8.33203125" style="13" customWidth="1"/>
    <col min="9493" max="9493" width="6.6640625" style="13" customWidth="1"/>
    <col min="9494" max="9496" width="7.5546875" style="13" customWidth="1"/>
    <col min="9497" max="9497" width="6.6640625" style="13" customWidth="1"/>
    <col min="9498" max="9728" width="8.88671875" style="13"/>
    <col min="9729" max="9729" width="2.33203125" style="13" customWidth="1"/>
    <col min="9730" max="9730" width="19" style="13" customWidth="1"/>
    <col min="9731" max="9731" width="7.109375" style="13" customWidth="1"/>
    <col min="9732" max="9742" width="7.88671875" style="13" customWidth="1"/>
    <col min="9743" max="9745" width="6.6640625" style="13" customWidth="1"/>
    <col min="9746" max="9746" width="7.33203125" style="13" customWidth="1"/>
    <col min="9747" max="9747" width="6.6640625" style="13" customWidth="1"/>
    <col min="9748" max="9748" width="8.33203125" style="13" customWidth="1"/>
    <col min="9749" max="9749" width="6.6640625" style="13" customWidth="1"/>
    <col min="9750" max="9752" width="7.5546875" style="13" customWidth="1"/>
    <col min="9753" max="9753" width="6.6640625" style="13" customWidth="1"/>
    <col min="9754" max="9984" width="8.88671875" style="13"/>
    <col min="9985" max="9985" width="2.33203125" style="13" customWidth="1"/>
    <col min="9986" max="9986" width="19" style="13" customWidth="1"/>
    <col min="9987" max="9987" width="7.109375" style="13" customWidth="1"/>
    <col min="9988" max="9998" width="7.88671875" style="13" customWidth="1"/>
    <col min="9999" max="10001" width="6.6640625" style="13" customWidth="1"/>
    <col min="10002" max="10002" width="7.33203125" style="13" customWidth="1"/>
    <col min="10003" max="10003" width="6.6640625" style="13" customWidth="1"/>
    <col min="10004" max="10004" width="8.33203125" style="13" customWidth="1"/>
    <col min="10005" max="10005" width="6.6640625" style="13" customWidth="1"/>
    <col min="10006" max="10008" width="7.5546875" style="13" customWidth="1"/>
    <col min="10009" max="10009" width="6.6640625" style="13" customWidth="1"/>
    <col min="10010" max="10240" width="8.88671875" style="13"/>
    <col min="10241" max="10241" width="2.33203125" style="13" customWidth="1"/>
    <col min="10242" max="10242" width="19" style="13" customWidth="1"/>
    <col min="10243" max="10243" width="7.109375" style="13" customWidth="1"/>
    <col min="10244" max="10254" width="7.88671875" style="13" customWidth="1"/>
    <col min="10255" max="10257" width="6.6640625" style="13" customWidth="1"/>
    <col min="10258" max="10258" width="7.33203125" style="13" customWidth="1"/>
    <col min="10259" max="10259" width="6.6640625" style="13" customWidth="1"/>
    <col min="10260" max="10260" width="8.33203125" style="13" customWidth="1"/>
    <col min="10261" max="10261" width="6.6640625" style="13" customWidth="1"/>
    <col min="10262" max="10264" width="7.5546875" style="13" customWidth="1"/>
    <col min="10265" max="10265" width="6.6640625" style="13" customWidth="1"/>
    <col min="10266" max="10496" width="8.88671875" style="13"/>
    <col min="10497" max="10497" width="2.33203125" style="13" customWidth="1"/>
    <col min="10498" max="10498" width="19" style="13" customWidth="1"/>
    <col min="10499" max="10499" width="7.109375" style="13" customWidth="1"/>
    <col min="10500" max="10510" width="7.88671875" style="13" customWidth="1"/>
    <col min="10511" max="10513" width="6.6640625" style="13" customWidth="1"/>
    <col min="10514" max="10514" width="7.33203125" style="13" customWidth="1"/>
    <col min="10515" max="10515" width="6.6640625" style="13" customWidth="1"/>
    <col min="10516" max="10516" width="8.33203125" style="13" customWidth="1"/>
    <col min="10517" max="10517" width="6.6640625" style="13" customWidth="1"/>
    <col min="10518" max="10520" width="7.5546875" style="13" customWidth="1"/>
    <col min="10521" max="10521" width="6.6640625" style="13" customWidth="1"/>
    <col min="10522" max="10752" width="8.88671875" style="13"/>
    <col min="10753" max="10753" width="2.33203125" style="13" customWidth="1"/>
    <col min="10754" max="10754" width="19" style="13" customWidth="1"/>
    <col min="10755" max="10755" width="7.109375" style="13" customWidth="1"/>
    <col min="10756" max="10766" width="7.88671875" style="13" customWidth="1"/>
    <col min="10767" max="10769" width="6.6640625" style="13" customWidth="1"/>
    <col min="10770" max="10770" width="7.33203125" style="13" customWidth="1"/>
    <col min="10771" max="10771" width="6.6640625" style="13" customWidth="1"/>
    <col min="10772" max="10772" width="8.33203125" style="13" customWidth="1"/>
    <col min="10773" max="10773" width="6.6640625" style="13" customWidth="1"/>
    <col min="10774" max="10776" width="7.5546875" style="13" customWidth="1"/>
    <col min="10777" max="10777" width="6.6640625" style="13" customWidth="1"/>
    <col min="10778" max="11008" width="8.88671875" style="13"/>
    <col min="11009" max="11009" width="2.33203125" style="13" customWidth="1"/>
    <col min="11010" max="11010" width="19" style="13" customWidth="1"/>
    <col min="11011" max="11011" width="7.109375" style="13" customWidth="1"/>
    <col min="11012" max="11022" width="7.88671875" style="13" customWidth="1"/>
    <col min="11023" max="11025" width="6.6640625" style="13" customWidth="1"/>
    <col min="11026" max="11026" width="7.33203125" style="13" customWidth="1"/>
    <col min="11027" max="11027" width="6.6640625" style="13" customWidth="1"/>
    <col min="11028" max="11028" width="8.33203125" style="13" customWidth="1"/>
    <col min="11029" max="11029" width="6.6640625" style="13" customWidth="1"/>
    <col min="11030" max="11032" width="7.5546875" style="13" customWidth="1"/>
    <col min="11033" max="11033" width="6.6640625" style="13" customWidth="1"/>
    <col min="11034" max="11264" width="8.88671875" style="13"/>
    <col min="11265" max="11265" width="2.33203125" style="13" customWidth="1"/>
    <col min="11266" max="11266" width="19" style="13" customWidth="1"/>
    <col min="11267" max="11267" width="7.109375" style="13" customWidth="1"/>
    <col min="11268" max="11278" width="7.88671875" style="13" customWidth="1"/>
    <col min="11279" max="11281" width="6.6640625" style="13" customWidth="1"/>
    <col min="11282" max="11282" width="7.33203125" style="13" customWidth="1"/>
    <col min="11283" max="11283" width="6.6640625" style="13" customWidth="1"/>
    <col min="11284" max="11284" width="8.33203125" style="13" customWidth="1"/>
    <col min="11285" max="11285" width="6.6640625" style="13" customWidth="1"/>
    <col min="11286" max="11288" width="7.5546875" style="13" customWidth="1"/>
    <col min="11289" max="11289" width="6.6640625" style="13" customWidth="1"/>
    <col min="11290" max="11520" width="8.88671875" style="13"/>
    <col min="11521" max="11521" width="2.33203125" style="13" customWidth="1"/>
    <col min="11522" max="11522" width="19" style="13" customWidth="1"/>
    <col min="11523" max="11523" width="7.109375" style="13" customWidth="1"/>
    <col min="11524" max="11534" width="7.88671875" style="13" customWidth="1"/>
    <col min="11535" max="11537" width="6.6640625" style="13" customWidth="1"/>
    <col min="11538" max="11538" width="7.33203125" style="13" customWidth="1"/>
    <col min="11539" max="11539" width="6.6640625" style="13" customWidth="1"/>
    <col min="11540" max="11540" width="8.33203125" style="13" customWidth="1"/>
    <col min="11541" max="11541" width="6.6640625" style="13" customWidth="1"/>
    <col min="11542" max="11544" width="7.5546875" style="13" customWidth="1"/>
    <col min="11545" max="11545" width="6.6640625" style="13" customWidth="1"/>
    <col min="11546" max="11776" width="8.88671875" style="13"/>
    <col min="11777" max="11777" width="2.33203125" style="13" customWidth="1"/>
    <col min="11778" max="11778" width="19" style="13" customWidth="1"/>
    <col min="11779" max="11779" width="7.109375" style="13" customWidth="1"/>
    <col min="11780" max="11790" width="7.88671875" style="13" customWidth="1"/>
    <col min="11791" max="11793" width="6.6640625" style="13" customWidth="1"/>
    <col min="11794" max="11794" width="7.33203125" style="13" customWidth="1"/>
    <col min="11795" max="11795" width="6.6640625" style="13" customWidth="1"/>
    <col min="11796" max="11796" width="8.33203125" style="13" customWidth="1"/>
    <col min="11797" max="11797" width="6.6640625" style="13" customWidth="1"/>
    <col min="11798" max="11800" width="7.5546875" style="13" customWidth="1"/>
    <col min="11801" max="11801" width="6.6640625" style="13" customWidth="1"/>
    <col min="11802" max="12032" width="8.88671875" style="13"/>
    <col min="12033" max="12033" width="2.33203125" style="13" customWidth="1"/>
    <col min="12034" max="12034" width="19" style="13" customWidth="1"/>
    <col min="12035" max="12035" width="7.109375" style="13" customWidth="1"/>
    <col min="12036" max="12046" width="7.88671875" style="13" customWidth="1"/>
    <col min="12047" max="12049" width="6.6640625" style="13" customWidth="1"/>
    <col min="12050" max="12050" width="7.33203125" style="13" customWidth="1"/>
    <col min="12051" max="12051" width="6.6640625" style="13" customWidth="1"/>
    <col min="12052" max="12052" width="8.33203125" style="13" customWidth="1"/>
    <col min="12053" max="12053" width="6.6640625" style="13" customWidth="1"/>
    <col min="12054" max="12056" width="7.5546875" style="13" customWidth="1"/>
    <col min="12057" max="12057" width="6.6640625" style="13" customWidth="1"/>
    <col min="12058" max="12288" width="8.88671875" style="13"/>
    <col min="12289" max="12289" width="2.33203125" style="13" customWidth="1"/>
    <col min="12290" max="12290" width="19" style="13" customWidth="1"/>
    <col min="12291" max="12291" width="7.109375" style="13" customWidth="1"/>
    <col min="12292" max="12302" width="7.88671875" style="13" customWidth="1"/>
    <col min="12303" max="12305" width="6.6640625" style="13" customWidth="1"/>
    <col min="12306" max="12306" width="7.33203125" style="13" customWidth="1"/>
    <col min="12307" max="12307" width="6.6640625" style="13" customWidth="1"/>
    <col min="12308" max="12308" width="8.33203125" style="13" customWidth="1"/>
    <col min="12309" max="12309" width="6.6640625" style="13" customWidth="1"/>
    <col min="12310" max="12312" width="7.5546875" style="13" customWidth="1"/>
    <col min="12313" max="12313" width="6.6640625" style="13" customWidth="1"/>
    <col min="12314" max="12544" width="8.88671875" style="13"/>
    <col min="12545" max="12545" width="2.33203125" style="13" customWidth="1"/>
    <col min="12546" max="12546" width="19" style="13" customWidth="1"/>
    <col min="12547" max="12547" width="7.109375" style="13" customWidth="1"/>
    <col min="12548" max="12558" width="7.88671875" style="13" customWidth="1"/>
    <col min="12559" max="12561" width="6.6640625" style="13" customWidth="1"/>
    <col min="12562" max="12562" width="7.33203125" style="13" customWidth="1"/>
    <col min="12563" max="12563" width="6.6640625" style="13" customWidth="1"/>
    <col min="12564" max="12564" width="8.33203125" style="13" customWidth="1"/>
    <col min="12565" max="12565" width="6.6640625" style="13" customWidth="1"/>
    <col min="12566" max="12568" width="7.5546875" style="13" customWidth="1"/>
    <col min="12569" max="12569" width="6.6640625" style="13" customWidth="1"/>
    <col min="12570" max="12800" width="8.88671875" style="13"/>
    <col min="12801" max="12801" width="2.33203125" style="13" customWidth="1"/>
    <col min="12802" max="12802" width="19" style="13" customWidth="1"/>
    <col min="12803" max="12803" width="7.109375" style="13" customWidth="1"/>
    <col min="12804" max="12814" width="7.88671875" style="13" customWidth="1"/>
    <col min="12815" max="12817" width="6.6640625" style="13" customWidth="1"/>
    <col min="12818" max="12818" width="7.33203125" style="13" customWidth="1"/>
    <col min="12819" max="12819" width="6.6640625" style="13" customWidth="1"/>
    <col min="12820" max="12820" width="8.33203125" style="13" customWidth="1"/>
    <col min="12821" max="12821" width="6.6640625" style="13" customWidth="1"/>
    <col min="12822" max="12824" width="7.5546875" style="13" customWidth="1"/>
    <col min="12825" max="12825" width="6.6640625" style="13" customWidth="1"/>
    <col min="12826" max="13056" width="8.88671875" style="13"/>
    <col min="13057" max="13057" width="2.33203125" style="13" customWidth="1"/>
    <col min="13058" max="13058" width="19" style="13" customWidth="1"/>
    <col min="13059" max="13059" width="7.109375" style="13" customWidth="1"/>
    <col min="13060" max="13070" width="7.88671875" style="13" customWidth="1"/>
    <col min="13071" max="13073" width="6.6640625" style="13" customWidth="1"/>
    <col min="13074" max="13074" width="7.33203125" style="13" customWidth="1"/>
    <col min="13075" max="13075" width="6.6640625" style="13" customWidth="1"/>
    <col min="13076" max="13076" width="8.33203125" style="13" customWidth="1"/>
    <col min="13077" max="13077" width="6.6640625" style="13" customWidth="1"/>
    <col min="13078" max="13080" width="7.5546875" style="13" customWidth="1"/>
    <col min="13081" max="13081" width="6.6640625" style="13" customWidth="1"/>
    <col min="13082" max="13312" width="8.88671875" style="13"/>
    <col min="13313" max="13313" width="2.33203125" style="13" customWidth="1"/>
    <col min="13314" max="13314" width="19" style="13" customWidth="1"/>
    <col min="13315" max="13315" width="7.109375" style="13" customWidth="1"/>
    <col min="13316" max="13326" width="7.88671875" style="13" customWidth="1"/>
    <col min="13327" max="13329" width="6.6640625" style="13" customWidth="1"/>
    <col min="13330" max="13330" width="7.33203125" style="13" customWidth="1"/>
    <col min="13331" max="13331" width="6.6640625" style="13" customWidth="1"/>
    <col min="13332" max="13332" width="8.33203125" style="13" customWidth="1"/>
    <col min="13333" max="13333" width="6.6640625" style="13" customWidth="1"/>
    <col min="13334" max="13336" width="7.5546875" style="13" customWidth="1"/>
    <col min="13337" max="13337" width="6.6640625" style="13" customWidth="1"/>
    <col min="13338" max="13568" width="8.88671875" style="13"/>
    <col min="13569" max="13569" width="2.33203125" style="13" customWidth="1"/>
    <col min="13570" max="13570" width="19" style="13" customWidth="1"/>
    <col min="13571" max="13571" width="7.109375" style="13" customWidth="1"/>
    <col min="13572" max="13582" width="7.88671875" style="13" customWidth="1"/>
    <col min="13583" max="13585" width="6.6640625" style="13" customWidth="1"/>
    <col min="13586" max="13586" width="7.33203125" style="13" customWidth="1"/>
    <col min="13587" max="13587" width="6.6640625" style="13" customWidth="1"/>
    <col min="13588" max="13588" width="8.33203125" style="13" customWidth="1"/>
    <col min="13589" max="13589" width="6.6640625" style="13" customWidth="1"/>
    <col min="13590" max="13592" width="7.5546875" style="13" customWidth="1"/>
    <col min="13593" max="13593" width="6.6640625" style="13" customWidth="1"/>
    <col min="13594" max="13824" width="8.88671875" style="13"/>
    <col min="13825" max="13825" width="2.33203125" style="13" customWidth="1"/>
    <col min="13826" max="13826" width="19" style="13" customWidth="1"/>
    <col min="13827" max="13827" width="7.109375" style="13" customWidth="1"/>
    <col min="13828" max="13838" width="7.88671875" style="13" customWidth="1"/>
    <col min="13839" max="13841" width="6.6640625" style="13" customWidth="1"/>
    <col min="13842" max="13842" width="7.33203125" style="13" customWidth="1"/>
    <col min="13843" max="13843" width="6.6640625" style="13" customWidth="1"/>
    <col min="13844" max="13844" width="8.33203125" style="13" customWidth="1"/>
    <col min="13845" max="13845" width="6.6640625" style="13" customWidth="1"/>
    <col min="13846" max="13848" width="7.5546875" style="13" customWidth="1"/>
    <col min="13849" max="13849" width="6.6640625" style="13" customWidth="1"/>
    <col min="13850" max="14080" width="8.88671875" style="13"/>
    <col min="14081" max="14081" width="2.33203125" style="13" customWidth="1"/>
    <col min="14082" max="14082" width="19" style="13" customWidth="1"/>
    <col min="14083" max="14083" width="7.109375" style="13" customWidth="1"/>
    <col min="14084" max="14094" width="7.88671875" style="13" customWidth="1"/>
    <col min="14095" max="14097" width="6.6640625" style="13" customWidth="1"/>
    <col min="14098" max="14098" width="7.33203125" style="13" customWidth="1"/>
    <col min="14099" max="14099" width="6.6640625" style="13" customWidth="1"/>
    <col min="14100" max="14100" width="8.33203125" style="13" customWidth="1"/>
    <col min="14101" max="14101" width="6.6640625" style="13" customWidth="1"/>
    <col min="14102" max="14104" width="7.5546875" style="13" customWidth="1"/>
    <col min="14105" max="14105" width="6.6640625" style="13" customWidth="1"/>
    <col min="14106" max="14336" width="8.88671875" style="13"/>
    <col min="14337" max="14337" width="2.33203125" style="13" customWidth="1"/>
    <col min="14338" max="14338" width="19" style="13" customWidth="1"/>
    <col min="14339" max="14339" width="7.109375" style="13" customWidth="1"/>
    <col min="14340" max="14350" width="7.88671875" style="13" customWidth="1"/>
    <col min="14351" max="14353" width="6.6640625" style="13" customWidth="1"/>
    <col min="14354" max="14354" width="7.33203125" style="13" customWidth="1"/>
    <col min="14355" max="14355" width="6.6640625" style="13" customWidth="1"/>
    <col min="14356" max="14356" width="8.33203125" style="13" customWidth="1"/>
    <col min="14357" max="14357" width="6.6640625" style="13" customWidth="1"/>
    <col min="14358" max="14360" width="7.5546875" style="13" customWidth="1"/>
    <col min="14361" max="14361" width="6.6640625" style="13" customWidth="1"/>
    <col min="14362" max="14592" width="8.88671875" style="13"/>
    <col min="14593" max="14593" width="2.33203125" style="13" customWidth="1"/>
    <col min="14594" max="14594" width="19" style="13" customWidth="1"/>
    <col min="14595" max="14595" width="7.109375" style="13" customWidth="1"/>
    <col min="14596" max="14606" width="7.88671875" style="13" customWidth="1"/>
    <col min="14607" max="14609" width="6.6640625" style="13" customWidth="1"/>
    <col min="14610" max="14610" width="7.33203125" style="13" customWidth="1"/>
    <col min="14611" max="14611" width="6.6640625" style="13" customWidth="1"/>
    <col min="14612" max="14612" width="8.33203125" style="13" customWidth="1"/>
    <col min="14613" max="14613" width="6.6640625" style="13" customWidth="1"/>
    <col min="14614" max="14616" width="7.5546875" style="13" customWidth="1"/>
    <col min="14617" max="14617" width="6.6640625" style="13" customWidth="1"/>
    <col min="14618" max="14848" width="8.88671875" style="13"/>
    <col min="14849" max="14849" width="2.33203125" style="13" customWidth="1"/>
    <col min="14850" max="14850" width="19" style="13" customWidth="1"/>
    <col min="14851" max="14851" width="7.109375" style="13" customWidth="1"/>
    <col min="14852" max="14862" width="7.88671875" style="13" customWidth="1"/>
    <col min="14863" max="14865" width="6.6640625" style="13" customWidth="1"/>
    <col min="14866" max="14866" width="7.33203125" style="13" customWidth="1"/>
    <col min="14867" max="14867" width="6.6640625" style="13" customWidth="1"/>
    <col min="14868" max="14868" width="8.33203125" style="13" customWidth="1"/>
    <col min="14869" max="14869" width="6.6640625" style="13" customWidth="1"/>
    <col min="14870" max="14872" width="7.5546875" style="13" customWidth="1"/>
    <col min="14873" max="14873" width="6.6640625" style="13" customWidth="1"/>
    <col min="14874" max="15104" width="8.88671875" style="13"/>
    <col min="15105" max="15105" width="2.33203125" style="13" customWidth="1"/>
    <col min="15106" max="15106" width="19" style="13" customWidth="1"/>
    <col min="15107" max="15107" width="7.109375" style="13" customWidth="1"/>
    <col min="15108" max="15118" width="7.88671875" style="13" customWidth="1"/>
    <col min="15119" max="15121" width="6.6640625" style="13" customWidth="1"/>
    <col min="15122" max="15122" width="7.33203125" style="13" customWidth="1"/>
    <col min="15123" max="15123" width="6.6640625" style="13" customWidth="1"/>
    <col min="15124" max="15124" width="8.33203125" style="13" customWidth="1"/>
    <col min="15125" max="15125" width="6.6640625" style="13" customWidth="1"/>
    <col min="15126" max="15128" width="7.5546875" style="13" customWidth="1"/>
    <col min="15129" max="15129" width="6.6640625" style="13" customWidth="1"/>
    <col min="15130" max="15360" width="8.88671875" style="13"/>
    <col min="15361" max="15361" width="2.33203125" style="13" customWidth="1"/>
    <col min="15362" max="15362" width="19" style="13" customWidth="1"/>
    <col min="15363" max="15363" width="7.109375" style="13" customWidth="1"/>
    <col min="15364" max="15374" width="7.88671875" style="13" customWidth="1"/>
    <col min="15375" max="15377" width="6.6640625" style="13" customWidth="1"/>
    <col min="15378" max="15378" width="7.33203125" style="13" customWidth="1"/>
    <col min="15379" max="15379" width="6.6640625" style="13" customWidth="1"/>
    <col min="15380" max="15380" width="8.33203125" style="13" customWidth="1"/>
    <col min="15381" max="15381" width="6.6640625" style="13" customWidth="1"/>
    <col min="15382" max="15384" width="7.5546875" style="13" customWidth="1"/>
    <col min="15385" max="15385" width="6.6640625" style="13" customWidth="1"/>
    <col min="15386" max="15616" width="8.88671875" style="13"/>
    <col min="15617" max="15617" width="2.33203125" style="13" customWidth="1"/>
    <col min="15618" max="15618" width="19" style="13" customWidth="1"/>
    <col min="15619" max="15619" width="7.109375" style="13" customWidth="1"/>
    <col min="15620" max="15630" width="7.88671875" style="13" customWidth="1"/>
    <col min="15631" max="15633" width="6.6640625" style="13" customWidth="1"/>
    <col min="15634" max="15634" width="7.33203125" style="13" customWidth="1"/>
    <col min="15635" max="15635" width="6.6640625" style="13" customWidth="1"/>
    <col min="15636" max="15636" width="8.33203125" style="13" customWidth="1"/>
    <col min="15637" max="15637" width="6.6640625" style="13" customWidth="1"/>
    <col min="15638" max="15640" width="7.5546875" style="13" customWidth="1"/>
    <col min="15641" max="15641" width="6.6640625" style="13" customWidth="1"/>
    <col min="15642" max="15872" width="8.88671875" style="13"/>
    <col min="15873" max="15873" width="2.33203125" style="13" customWidth="1"/>
    <col min="15874" max="15874" width="19" style="13" customWidth="1"/>
    <col min="15875" max="15875" width="7.109375" style="13" customWidth="1"/>
    <col min="15876" max="15886" width="7.88671875" style="13" customWidth="1"/>
    <col min="15887" max="15889" width="6.6640625" style="13" customWidth="1"/>
    <col min="15890" max="15890" width="7.33203125" style="13" customWidth="1"/>
    <col min="15891" max="15891" width="6.6640625" style="13" customWidth="1"/>
    <col min="15892" max="15892" width="8.33203125" style="13" customWidth="1"/>
    <col min="15893" max="15893" width="6.6640625" style="13" customWidth="1"/>
    <col min="15894" max="15896" width="7.5546875" style="13" customWidth="1"/>
    <col min="15897" max="15897" width="6.6640625" style="13" customWidth="1"/>
    <col min="15898" max="16128" width="8.88671875" style="13"/>
    <col min="16129" max="16129" width="2.33203125" style="13" customWidth="1"/>
    <col min="16130" max="16130" width="19" style="13" customWidth="1"/>
    <col min="16131" max="16131" width="7.109375" style="13" customWidth="1"/>
    <col min="16132" max="16142" width="7.88671875" style="13" customWidth="1"/>
    <col min="16143" max="16145" width="6.6640625" style="13" customWidth="1"/>
    <col min="16146" max="16146" width="7.33203125" style="13" customWidth="1"/>
    <col min="16147" max="16147" width="6.6640625" style="13" customWidth="1"/>
    <col min="16148" max="16148" width="8.33203125" style="13" customWidth="1"/>
    <col min="16149" max="16149" width="6.6640625" style="13" customWidth="1"/>
    <col min="16150" max="16152" width="7.5546875" style="13" customWidth="1"/>
    <col min="16153" max="16153" width="6.6640625" style="13" customWidth="1"/>
    <col min="16154" max="16384" width="8.88671875" style="13"/>
  </cols>
  <sheetData>
    <row r="1" spans="2:33" s="52" customFormat="1" ht="13.8" x14ac:dyDescent="0.25">
      <c r="B1" s="95" t="s">
        <v>100</v>
      </c>
      <c r="E1" s="45"/>
      <c r="F1" s="45"/>
      <c r="G1" s="45"/>
      <c r="H1" s="45"/>
      <c r="I1" s="45"/>
      <c r="J1" s="45"/>
      <c r="K1" s="45"/>
      <c r="L1" s="45"/>
      <c r="M1" s="45"/>
      <c r="N1" s="45"/>
      <c r="O1" s="45"/>
      <c r="P1" s="45"/>
      <c r="Q1" s="45"/>
      <c r="R1" s="45"/>
      <c r="S1" s="45"/>
      <c r="T1" s="45"/>
      <c r="U1" s="45"/>
      <c r="V1" s="45"/>
      <c r="W1" s="45"/>
      <c r="X1" s="45"/>
      <c r="Y1" s="45"/>
    </row>
    <row r="2" spans="2:33" customFormat="1" x14ac:dyDescent="0.25">
      <c r="B2" s="11" t="s">
        <v>127</v>
      </c>
      <c r="C2" s="5"/>
      <c r="D2" s="5"/>
      <c r="E2" s="5"/>
      <c r="F2" s="5"/>
      <c r="G2" s="5"/>
      <c r="H2" s="5"/>
      <c r="I2" s="5"/>
      <c r="J2" s="5"/>
      <c r="K2" s="5"/>
      <c r="L2" s="5"/>
      <c r="M2" s="5"/>
      <c r="N2" s="5"/>
      <c r="O2" s="5"/>
      <c r="P2" s="5"/>
      <c r="Q2" s="5"/>
      <c r="R2" s="5"/>
      <c r="S2" s="5"/>
    </row>
    <row r="3" spans="2:33" customFormat="1" x14ac:dyDescent="0.25">
      <c r="B3" s="37" t="s">
        <v>113</v>
      </c>
      <c r="C3" s="1"/>
      <c r="D3" s="1"/>
      <c r="E3" s="1"/>
      <c r="F3" s="1"/>
      <c r="G3" s="1"/>
      <c r="H3" s="1"/>
      <c r="I3" s="1"/>
      <c r="J3" s="1"/>
      <c r="K3" s="1"/>
      <c r="L3" s="1"/>
      <c r="M3" s="1"/>
      <c r="N3" s="1"/>
      <c r="O3" s="1"/>
    </row>
    <row r="4" spans="2:33" x14ac:dyDescent="0.25">
      <c r="B4" s="12"/>
      <c r="C4" s="126"/>
      <c r="D4" s="126"/>
      <c r="E4" s="126"/>
      <c r="F4" s="125"/>
      <c r="G4" s="126"/>
      <c r="H4" s="126"/>
      <c r="I4" s="126"/>
      <c r="J4" s="126"/>
      <c r="K4" s="126"/>
      <c r="L4" s="126"/>
      <c r="M4" s="126"/>
      <c r="N4" s="126"/>
      <c r="O4" s="126"/>
      <c r="P4" s="126"/>
      <c r="Q4" s="126"/>
      <c r="R4" s="125"/>
      <c r="S4" s="126"/>
      <c r="T4" s="13"/>
      <c r="U4" s="13"/>
      <c r="V4" s="13"/>
      <c r="W4" s="13"/>
      <c r="X4" s="13"/>
      <c r="Y4" s="13"/>
    </row>
    <row r="5" spans="2:33" x14ac:dyDescent="0.25">
      <c r="B5" s="64"/>
      <c r="C5" s="127" t="s">
        <v>95</v>
      </c>
      <c r="D5" s="128">
        <v>90</v>
      </c>
      <c r="F5" s="22"/>
      <c r="R5" s="107"/>
      <c r="Y5" s="13"/>
    </row>
    <row r="6" spans="2:33" x14ac:dyDescent="0.25">
      <c r="B6" s="129" t="s">
        <v>86</v>
      </c>
      <c r="F6" s="22"/>
      <c r="R6" s="107"/>
      <c r="X6" s="13"/>
      <c r="Y6" s="13"/>
    </row>
    <row r="7" spans="2:33" x14ac:dyDescent="0.25">
      <c r="D7" s="16" t="s">
        <v>84</v>
      </c>
      <c r="F7" s="22"/>
      <c r="R7" s="107"/>
      <c r="S7" s="18"/>
      <c r="X7" s="13"/>
      <c r="Y7" s="13"/>
      <c r="AB7" s="14"/>
      <c r="AC7" s="14"/>
      <c r="AD7" s="14"/>
    </row>
    <row r="8" spans="2:33" ht="27.75" customHeight="1" x14ac:dyDescent="0.25">
      <c r="D8" s="19" t="s">
        <v>3</v>
      </c>
      <c r="F8" s="20"/>
      <c r="G8" s="20"/>
      <c r="H8" s="20"/>
      <c r="I8" s="20"/>
      <c r="J8" s="20"/>
      <c r="K8" s="20"/>
      <c r="L8" s="20"/>
      <c r="M8" s="20"/>
      <c r="N8" s="20"/>
      <c r="S8" s="21"/>
      <c r="T8" s="20"/>
      <c r="U8" s="20"/>
      <c r="V8" s="20"/>
      <c r="W8" s="20"/>
      <c r="X8" s="13"/>
      <c r="Y8" s="13"/>
      <c r="AA8" s="20"/>
      <c r="AB8" s="22"/>
      <c r="AC8" s="20"/>
      <c r="AD8" s="20"/>
    </row>
    <row r="9" spans="2:33" x14ac:dyDescent="0.25">
      <c r="C9" s="23" t="s">
        <v>2</v>
      </c>
      <c r="D9" s="93">
        <v>400</v>
      </c>
      <c r="J9" s="130"/>
      <c r="N9" s="131"/>
      <c r="S9" s="18"/>
      <c r="AA9" s="130"/>
      <c r="AB9" s="14"/>
      <c r="AC9" s="14"/>
      <c r="AD9" s="14"/>
      <c r="AE9" s="131"/>
    </row>
    <row r="10" spans="2:33" x14ac:dyDescent="0.25">
      <c r="C10" s="23" t="s">
        <v>25</v>
      </c>
      <c r="D10" s="93">
        <v>30</v>
      </c>
      <c r="J10" s="130"/>
      <c r="L10" s="130" t="s">
        <v>144</v>
      </c>
      <c r="N10" s="131"/>
      <c r="S10" s="18"/>
      <c r="U10" s="17"/>
      <c r="AA10" s="130"/>
      <c r="AB10" s="14"/>
      <c r="AC10" s="130" t="s">
        <v>144</v>
      </c>
      <c r="AD10" s="14"/>
      <c r="AE10" s="131"/>
    </row>
    <row r="11" spans="2:33" x14ac:dyDescent="0.25">
      <c r="C11" s="23" t="s">
        <v>26</v>
      </c>
      <c r="D11" s="25">
        <f>1+D10/100</f>
        <v>1.3</v>
      </c>
      <c r="E11" s="17"/>
      <c r="J11" s="130"/>
      <c r="N11" s="131"/>
      <c r="V11" s="17" t="s">
        <v>85</v>
      </c>
      <c r="Z11" s="14"/>
      <c r="AA11" s="130"/>
      <c r="AB11" s="14"/>
      <c r="AC11" s="14"/>
      <c r="AD11" s="14"/>
      <c r="AE11" s="131"/>
      <c r="AF11" s="14"/>
      <c r="AG11" s="14"/>
    </row>
    <row r="12" spans="2:33" x14ac:dyDescent="0.25">
      <c r="C12" s="27" t="s">
        <v>77</v>
      </c>
      <c r="D12" s="16"/>
      <c r="E12" s="89">
        <v>10</v>
      </c>
      <c r="F12" s="94">
        <f>E12</f>
        <v>10</v>
      </c>
      <c r="G12" s="94">
        <f t="shared" ref="G12:N12" si="0">F12</f>
        <v>10</v>
      </c>
      <c r="H12" s="94">
        <f t="shared" si="0"/>
        <v>10</v>
      </c>
      <c r="I12" s="94">
        <f t="shared" si="0"/>
        <v>10</v>
      </c>
      <c r="J12" s="94">
        <f>I12</f>
        <v>10</v>
      </c>
      <c r="K12" s="94">
        <f t="shared" si="0"/>
        <v>10</v>
      </c>
      <c r="L12" s="94">
        <f t="shared" si="0"/>
        <v>10</v>
      </c>
      <c r="M12" s="94">
        <f t="shared" si="0"/>
        <v>10</v>
      </c>
      <c r="N12" s="94">
        <f t="shared" si="0"/>
        <v>10</v>
      </c>
      <c r="U12" s="18"/>
      <c r="V12" s="107" t="s">
        <v>98</v>
      </c>
      <c r="Z12" s="14"/>
      <c r="AA12" s="14"/>
      <c r="AC12" s="15"/>
      <c r="AE12" s="24"/>
      <c r="AF12" s="24"/>
      <c r="AG12" s="24"/>
    </row>
    <row r="13" spans="2:33" x14ac:dyDescent="0.25">
      <c r="C13" s="27" t="s">
        <v>53</v>
      </c>
      <c r="D13" s="16"/>
      <c r="E13" s="94">
        <v>5</v>
      </c>
      <c r="F13" s="94">
        <v>0</v>
      </c>
      <c r="G13" s="179">
        <f>100/1.05-100</f>
        <v>-4.7619047619047592</v>
      </c>
      <c r="H13" s="94">
        <v>5</v>
      </c>
      <c r="I13" s="94">
        <v>0</v>
      </c>
      <c r="J13" s="179">
        <f>100/1.05-100</f>
        <v>-4.7619047619047592</v>
      </c>
      <c r="K13" s="94">
        <v>5</v>
      </c>
      <c r="L13" s="94">
        <v>0</v>
      </c>
      <c r="M13" s="179">
        <f>100/1.05-100</f>
        <v>-4.7619047619047592</v>
      </c>
      <c r="N13" s="94">
        <v>0</v>
      </c>
      <c r="U13" s="18"/>
      <c r="V13" s="107"/>
      <c r="Z13" s="14"/>
      <c r="AA13" s="14"/>
      <c r="AC13" s="15"/>
      <c r="AE13" s="24"/>
      <c r="AF13" s="24"/>
      <c r="AG13" s="24"/>
    </row>
    <row r="14" spans="2:33" x14ac:dyDescent="0.25">
      <c r="C14" s="27" t="s">
        <v>34</v>
      </c>
      <c r="D14" s="23"/>
      <c r="E14" s="90" t="s">
        <v>110</v>
      </c>
      <c r="F14" s="90" t="s">
        <v>111</v>
      </c>
      <c r="G14" s="90" t="s">
        <v>112</v>
      </c>
      <c r="H14" s="90" t="s">
        <v>110</v>
      </c>
      <c r="I14" s="90" t="s">
        <v>111</v>
      </c>
      <c r="J14" s="90" t="s">
        <v>112</v>
      </c>
      <c r="K14" s="90" t="s">
        <v>110</v>
      </c>
      <c r="L14" s="90" t="s">
        <v>111</v>
      </c>
      <c r="M14" s="90" t="s">
        <v>112</v>
      </c>
      <c r="N14" s="90" t="s">
        <v>111</v>
      </c>
      <c r="U14" s="18"/>
      <c r="Z14" s="14"/>
      <c r="AA14" s="14"/>
      <c r="AC14" s="15"/>
      <c r="AE14" s="24"/>
      <c r="AF14" s="24"/>
      <c r="AG14" s="24"/>
    </row>
    <row r="15" spans="2:33" ht="12.6" customHeight="1" x14ac:dyDescent="0.25">
      <c r="C15" s="180"/>
      <c r="D15" s="133"/>
      <c r="E15" s="134" t="s">
        <v>35</v>
      </c>
      <c r="F15" s="134" t="s">
        <v>36</v>
      </c>
      <c r="G15" s="134" t="s">
        <v>37</v>
      </c>
      <c r="H15" s="134" t="s">
        <v>38</v>
      </c>
      <c r="I15" s="134" t="s">
        <v>39</v>
      </c>
      <c r="J15" s="134" t="s">
        <v>40</v>
      </c>
      <c r="K15" s="134" t="s">
        <v>41</v>
      </c>
      <c r="L15" s="134" t="s">
        <v>42</v>
      </c>
      <c r="M15" s="134" t="s">
        <v>43</v>
      </c>
      <c r="N15" s="134" t="s">
        <v>44</v>
      </c>
      <c r="P15" s="28" t="s">
        <v>2</v>
      </c>
      <c r="V15" s="181" t="str">
        <f t="shared" ref="V15:AE15" si="1">E15</f>
        <v>Game1</v>
      </c>
      <c r="W15" s="181" t="str">
        <f t="shared" si="1"/>
        <v>Game2</v>
      </c>
      <c r="X15" s="181" t="str">
        <f t="shared" si="1"/>
        <v>Game3</v>
      </c>
      <c r="Y15" s="181" t="str">
        <f t="shared" si="1"/>
        <v>Game4</v>
      </c>
      <c r="Z15" s="181" t="str">
        <f t="shared" si="1"/>
        <v>Game5</v>
      </c>
      <c r="AA15" s="181" t="str">
        <f t="shared" si="1"/>
        <v>Game6</v>
      </c>
      <c r="AB15" s="181" t="str">
        <f t="shared" si="1"/>
        <v>Game7</v>
      </c>
      <c r="AC15" s="181" t="str">
        <f t="shared" si="1"/>
        <v>Game8</v>
      </c>
      <c r="AD15" s="181" t="str">
        <f t="shared" si="1"/>
        <v>Game9</v>
      </c>
      <c r="AE15" s="181" t="str">
        <f t="shared" si="1"/>
        <v>Game10</v>
      </c>
      <c r="AF15" s="14"/>
      <c r="AG15" s="28" t="s">
        <v>2</v>
      </c>
    </row>
    <row r="16" spans="2:33" x14ac:dyDescent="0.25">
      <c r="B16" s="135"/>
      <c r="C16" s="105" t="s">
        <v>4</v>
      </c>
      <c r="D16" s="6"/>
      <c r="E16" s="96">
        <v>475.32667427149573</v>
      </c>
      <c r="F16" s="97">
        <v>498.96096372119013</v>
      </c>
      <c r="G16" s="97"/>
      <c r="H16" s="97"/>
      <c r="I16" s="97"/>
      <c r="J16" s="97"/>
      <c r="K16" s="97"/>
      <c r="L16" s="97"/>
      <c r="M16" s="97"/>
      <c r="N16" s="98"/>
      <c r="O16" s="136"/>
      <c r="P16" s="31">
        <f t="shared" ref="P16:P35" si="2">AVERAGE(E16:N16)</f>
        <v>487.14381899634293</v>
      </c>
      <c r="S16" s="13"/>
      <c r="U16" s="30"/>
      <c r="V16" s="137">
        <f t="shared" ref="V16:AE35" si="3">100*LN(E16)</f>
        <v>616.40023029614986</v>
      </c>
      <c r="W16" s="138">
        <f t="shared" si="3"/>
        <v>621.25278636758185</v>
      </c>
      <c r="X16" s="138" t="e">
        <f t="shared" si="3"/>
        <v>#NUM!</v>
      </c>
      <c r="Y16" s="138" t="e">
        <f t="shared" si="3"/>
        <v>#NUM!</v>
      </c>
      <c r="Z16" s="138" t="e">
        <f t="shared" si="3"/>
        <v>#NUM!</v>
      </c>
      <c r="AA16" s="138" t="e">
        <f t="shared" si="3"/>
        <v>#NUM!</v>
      </c>
      <c r="AB16" s="138" t="e">
        <f t="shared" si="3"/>
        <v>#NUM!</v>
      </c>
      <c r="AC16" s="138" t="e">
        <f t="shared" si="3"/>
        <v>#NUM!</v>
      </c>
      <c r="AD16" s="138" t="e">
        <f t="shared" si="3"/>
        <v>#NUM!</v>
      </c>
      <c r="AE16" s="139" t="e">
        <f t="shared" si="3"/>
        <v>#NUM!</v>
      </c>
      <c r="AF16" s="30"/>
      <c r="AG16" s="31" t="e">
        <f>AVERAGE(V16:AE16)</f>
        <v>#NUM!</v>
      </c>
    </row>
    <row r="17" spans="3:33" x14ac:dyDescent="0.25">
      <c r="C17" s="105" t="s">
        <v>5</v>
      </c>
      <c r="D17" s="6"/>
      <c r="E17" s="99">
        <v>651.80718660875664</v>
      </c>
      <c r="F17" s="100">
        <v>589.34576302694768</v>
      </c>
      <c r="G17" s="100"/>
      <c r="H17" s="100"/>
      <c r="I17" s="100"/>
      <c r="J17" s="100"/>
      <c r="K17" s="100"/>
      <c r="L17" s="100"/>
      <c r="M17" s="100"/>
      <c r="N17" s="101"/>
      <c r="O17" s="136"/>
      <c r="P17" s="31">
        <f t="shared" si="2"/>
        <v>620.57647481785216</v>
      </c>
      <c r="S17" s="13"/>
      <c r="U17" s="30"/>
      <c r="V17" s="140">
        <f t="shared" si="3"/>
        <v>647.97487921308891</v>
      </c>
      <c r="W17" s="141">
        <f t="shared" si="3"/>
        <v>637.90130454161385</v>
      </c>
      <c r="X17" s="141" t="e">
        <f t="shared" si="3"/>
        <v>#NUM!</v>
      </c>
      <c r="Y17" s="141" t="e">
        <f t="shared" si="3"/>
        <v>#NUM!</v>
      </c>
      <c r="Z17" s="141" t="e">
        <f t="shared" si="3"/>
        <v>#NUM!</v>
      </c>
      <c r="AA17" s="141" t="e">
        <f t="shared" si="3"/>
        <v>#NUM!</v>
      </c>
      <c r="AB17" s="141" t="e">
        <f t="shared" si="3"/>
        <v>#NUM!</v>
      </c>
      <c r="AC17" s="141" t="e">
        <f t="shared" si="3"/>
        <v>#NUM!</v>
      </c>
      <c r="AD17" s="141" t="e">
        <f t="shared" si="3"/>
        <v>#NUM!</v>
      </c>
      <c r="AE17" s="142" t="e">
        <f t="shared" si="3"/>
        <v>#NUM!</v>
      </c>
      <c r="AF17" s="30"/>
      <c r="AG17" s="31" t="e">
        <f t="shared" ref="AG17:AG35" si="4">AVERAGE(V17:AE17)</f>
        <v>#NUM!</v>
      </c>
    </row>
    <row r="18" spans="3:33" x14ac:dyDescent="0.25">
      <c r="C18" s="105" t="s">
        <v>6</v>
      </c>
      <c r="D18" s="6"/>
      <c r="E18" s="99">
        <v>320.64043789170898</v>
      </c>
      <c r="F18" s="100">
        <v>388.9994354818898</v>
      </c>
      <c r="G18" s="100"/>
      <c r="H18" s="100"/>
      <c r="I18" s="100"/>
      <c r="J18" s="100"/>
      <c r="K18" s="100"/>
      <c r="L18" s="100"/>
      <c r="M18" s="100"/>
      <c r="N18" s="101"/>
      <c r="O18" s="136"/>
      <c r="P18" s="31">
        <f t="shared" si="2"/>
        <v>354.81993668679939</v>
      </c>
      <c r="S18" s="13"/>
      <c r="U18" s="30"/>
      <c r="V18" s="140">
        <f t="shared" si="3"/>
        <v>577.03203641357425</v>
      </c>
      <c r="W18" s="141">
        <f t="shared" si="3"/>
        <v>596.35778924140254</v>
      </c>
      <c r="X18" s="141" t="e">
        <f t="shared" si="3"/>
        <v>#NUM!</v>
      </c>
      <c r="Y18" s="141" t="e">
        <f t="shared" si="3"/>
        <v>#NUM!</v>
      </c>
      <c r="Z18" s="141" t="e">
        <f t="shared" si="3"/>
        <v>#NUM!</v>
      </c>
      <c r="AA18" s="141" t="e">
        <f t="shared" si="3"/>
        <v>#NUM!</v>
      </c>
      <c r="AB18" s="141" t="e">
        <f t="shared" si="3"/>
        <v>#NUM!</v>
      </c>
      <c r="AC18" s="141" t="e">
        <f t="shared" si="3"/>
        <v>#NUM!</v>
      </c>
      <c r="AD18" s="141" t="e">
        <f t="shared" si="3"/>
        <v>#NUM!</v>
      </c>
      <c r="AE18" s="142" t="e">
        <f t="shared" si="3"/>
        <v>#NUM!</v>
      </c>
      <c r="AF18" s="30"/>
      <c r="AG18" s="31" t="e">
        <f t="shared" si="4"/>
        <v>#NUM!</v>
      </c>
    </row>
    <row r="19" spans="3:33" x14ac:dyDescent="0.25">
      <c r="C19" s="105" t="s">
        <v>7</v>
      </c>
      <c r="D19" s="6"/>
      <c r="E19" s="99">
        <v>385.69722727134308</v>
      </c>
      <c r="F19" s="100">
        <v>356.71910412559561</v>
      </c>
      <c r="G19" s="100"/>
      <c r="H19" s="100"/>
      <c r="I19" s="100"/>
      <c r="J19" s="100"/>
      <c r="K19" s="100"/>
      <c r="L19" s="100"/>
      <c r="M19" s="100"/>
      <c r="N19" s="101"/>
      <c r="O19" s="136"/>
      <c r="P19" s="31">
        <f t="shared" si="2"/>
        <v>371.20816569846932</v>
      </c>
      <c r="S19" s="13"/>
      <c r="U19" s="30"/>
      <c r="V19" s="140">
        <f t="shared" si="3"/>
        <v>595.50526763663129</v>
      </c>
      <c r="W19" s="141">
        <f t="shared" si="3"/>
        <v>587.69486488942118</v>
      </c>
      <c r="X19" s="141" t="e">
        <f t="shared" si="3"/>
        <v>#NUM!</v>
      </c>
      <c r="Y19" s="141" t="e">
        <f t="shared" si="3"/>
        <v>#NUM!</v>
      </c>
      <c r="Z19" s="141" t="e">
        <f t="shared" si="3"/>
        <v>#NUM!</v>
      </c>
      <c r="AA19" s="141" t="e">
        <f t="shared" si="3"/>
        <v>#NUM!</v>
      </c>
      <c r="AB19" s="141" t="e">
        <f t="shared" si="3"/>
        <v>#NUM!</v>
      </c>
      <c r="AC19" s="141" t="e">
        <f t="shared" si="3"/>
        <v>#NUM!</v>
      </c>
      <c r="AD19" s="141" t="e">
        <f t="shared" si="3"/>
        <v>#NUM!</v>
      </c>
      <c r="AE19" s="142" t="e">
        <f t="shared" si="3"/>
        <v>#NUM!</v>
      </c>
      <c r="AF19" s="30"/>
      <c r="AG19" s="31" t="e">
        <f t="shared" si="4"/>
        <v>#NUM!</v>
      </c>
    </row>
    <row r="20" spans="3:33" x14ac:dyDescent="0.25">
      <c r="C20" s="105" t="s">
        <v>8</v>
      </c>
      <c r="D20" s="6"/>
      <c r="E20" s="99">
        <v>485.99541344560203</v>
      </c>
      <c r="F20" s="100">
        <v>511.85887279444057</v>
      </c>
      <c r="G20" s="100"/>
      <c r="H20" s="100"/>
      <c r="I20" s="100"/>
      <c r="J20" s="100"/>
      <c r="K20" s="100"/>
      <c r="L20" s="100"/>
      <c r="M20" s="100"/>
      <c r="N20" s="101"/>
      <c r="O20" s="136"/>
      <c r="P20" s="31">
        <f t="shared" si="2"/>
        <v>498.9271431200213</v>
      </c>
      <c r="S20" s="13"/>
      <c r="U20" s="30"/>
      <c r="V20" s="140">
        <f t="shared" si="3"/>
        <v>618.61991865012328</v>
      </c>
      <c r="W20" s="141">
        <f t="shared" si="3"/>
        <v>623.80489479707182</v>
      </c>
      <c r="X20" s="141" t="e">
        <f t="shared" si="3"/>
        <v>#NUM!</v>
      </c>
      <c r="Y20" s="141" t="e">
        <f t="shared" si="3"/>
        <v>#NUM!</v>
      </c>
      <c r="Z20" s="141" t="e">
        <f t="shared" si="3"/>
        <v>#NUM!</v>
      </c>
      <c r="AA20" s="141" t="e">
        <f t="shared" si="3"/>
        <v>#NUM!</v>
      </c>
      <c r="AB20" s="141" t="e">
        <f t="shared" si="3"/>
        <v>#NUM!</v>
      </c>
      <c r="AC20" s="141" t="e">
        <f t="shared" si="3"/>
        <v>#NUM!</v>
      </c>
      <c r="AD20" s="141" t="e">
        <f t="shared" si="3"/>
        <v>#NUM!</v>
      </c>
      <c r="AE20" s="142" t="e">
        <f t="shared" si="3"/>
        <v>#NUM!</v>
      </c>
      <c r="AF20" s="30"/>
      <c r="AG20" s="31" t="e">
        <f t="shared" si="4"/>
        <v>#NUM!</v>
      </c>
    </row>
    <row r="21" spans="3:33" x14ac:dyDescent="0.25">
      <c r="C21" s="105" t="s">
        <v>9</v>
      </c>
      <c r="D21" s="6"/>
      <c r="E21" s="99">
        <v>512.58382627839433</v>
      </c>
      <c r="F21" s="100">
        <v>549.99042530787949</v>
      </c>
      <c r="G21" s="100"/>
      <c r="H21" s="100"/>
      <c r="I21" s="100"/>
      <c r="J21" s="100"/>
      <c r="K21" s="100"/>
      <c r="L21" s="100"/>
      <c r="M21" s="100"/>
      <c r="N21" s="101"/>
      <c r="O21" s="136"/>
      <c r="P21" s="31">
        <f t="shared" si="2"/>
        <v>531.28712579313697</v>
      </c>
      <c r="S21" s="13"/>
      <c r="U21" s="30"/>
      <c r="V21" s="140">
        <f t="shared" si="3"/>
        <v>623.94642611075551</v>
      </c>
      <c r="W21" s="141">
        <f t="shared" si="3"/>
        <v>630.99008695438579</v>
      </c>
      <c r="X21" s="141" t="e">
        <f t="shared" si="3"/>
        <v>#NUM!</v>
      </c>
      <c r="Y21" s="141" t="e">
        <f t="shared" si="3"/>
        <v>#NUM!</v>
      </c>
      <c r="Z21" s="141" t="e">
        <f t="shared" si="3"/>
        <v>#NUM!</v>
      </c>
      <c r="AA21" s="141" t="e">
        <f t="shared" si="3"/>
        <v>#NUM!</v>
      </c>
      <c r="AB21" s="141" t="e">
        <f t="shared" si="3"/>
        <v>#NUM!</v>
      </c>
      <c r="AC21" s="141" t="e">
        <f t="shared" si="3"/>
        <v>#NUM!</v>
      </c>
      <c r="AD21" s="141" t="e">
        <f t="shared" si="3"/>
        <v>#NUM!</v>
      </c>
      <c r="AE21" s="142" t="e">
        <f t="shared" si="3"/>
        <v>#NUM!</v>
      </c>
      <c r="AF21" s="30"/>
      <c r="AG21" s="31" t="e">
        <f t="shared" si="4"/>
        <v>#NUM!</v>
      </c>
    </row>
    <row r="22" spans="3:33" x14ac:dyDescent="0.25">
      <c r="C22" s="105" t="s">
        <v>10</v>
      </c>
      <c r="D22" s="6"/>
      <c r="E22" s="99">
        <v>382.82949687036336</v>
      </c>
      <c r="F22" s="100">
        <v>462.19491994197648</v>
      </c>
      <c r="G22" s="100">
        <v>439.00546111357272</v>
      </c>
      <c r="H22" s="100">
        <v>481.68581731986257</v>
      </c>
      <c r="I22" s="100">
        <v>640.14876215065715</v>
      </c>
      <c r="J22" s="100"/>
      <c r="K22" s="100"/>
      <c r="L22" s="100"/>
      <c r="M22" s="100"/>
      <c r="N22" s="101"/>
      <c r="O22" s="136"/>
      <c r="P22" s="31">
        <f t="shared" si="2"/>
        <v>481.17289147928642</v>
      </c>
      <c r="S22" s="13"/>
      <c r="U22" s="30"/>
      <c r="V22" s="140">
        <f t="shared" si="3"/>
        <v>594.75897121753837</v>
      </c>
      <c r="W22" s="141">
        <f t="shared" si="3"/>
        <v>613.59867067413165</v>
      </c>
      <c r="X22" s="141">
        <f t="shared" si="3"/>
        <v>608.45118528920398</v>
      </c>
      <c r="Y22" s="141">
        <f t="shared" si="3"/>
        <v>617.72920702296324</v>
      </c>
      <c r="Z22" s="141">
        <f t="shared" si="3"/>
        <v>646.17005902039284</v>
      </c>
      <c r="AA22" s="141" t="e">
        <f t="shared" si="3"/>
        <v>#NUM!</v>
      </c>
      <c r="AB22" s="141" t="e">
        <f t="shared" si="3"/>
        <v>#NUM!</v>
      </c>
      <c r="AC22" s="141" t="e">
        <f t="shared" si="3"/>
        <v>#NUM!</v>
      </c>
      <c r="AD22" s="141" t="e">
        <f t="shared" si="3"/>
        <v>#NUM!</v>
      </c>
      <c r="AE22" s="142" t="e">
        <f t="shared" si="3"/>
        <v>#NUM!</v>
      </c>
      <c r="AF22" s="30"/>
      <c r="AG22" s="31" t="e">
        <f t="shared" si="4"/>
        <v>#NUM!</v>
      </c>
    </row>
    <row r="23" spans="3:33" x14ac:dyDescent="0.25">
      <c r="C23" s="105" t="s">
        <v>11</v>
      </c>
      <c r="D23" s="6"/>
      <c r="E23" s="99">
        <v>557.19808171051068</v>
      </c>
      <c r="F23" s="100">
        <v>470.53667906325109</v>
      </c>
      <c r="G23" s="100">
        <v>401.26481544339458</v>
      </c>
      <c r="H23" s="100">
        <v>456.02768656272963</v>
      </c>
      <c r="I23" s="100">
        <v>465.30671418037213</v>
      </c>
      <c r="J23" s="100"/>
      <c r="K23" s="100"/>
      <c r="L23" s="100"/>
      <c r="M23" s="100"/>
      <c r="N23" s="101"/>
      <c r="O23" s="136"/>
      <c r="P23" s="31">
        <f t="shared" si="2"/>
        <v>470.06679539205163</v>
      </c>
      <c r="S23" s="13"/>
      <c r="U23" s="30"/>
      <c r="V23" s="140">
        <f t="shared" si="3"/>
        <v>632.2920799169126</v>
      </c>
      <c r="W23" s="141">
        <f t="shared" si="3"/>
        <v>615.38739136133597</v>
      </c>
      <c r="X23" s="141">
        <f t="shared" si="3"/>
        <v>599.46215969859941</v>
      </c>
      <c r="Y23" s="141">
        <f t="shared" si="3"/>
        <v>612.25535238175723</v>
      </c>
      <c r="Z23" s="141">
        <f t="shared" si="3"/>
        <v>614.26967885345277</v>
      </c>
      <c r="AA23" s="141" t="e">
        <f t="shared" si="3"/>
        <v>#NUM!</v>
      </c>
      <c r="AB23" s="141" t="e">
        <f t="shared" si="3"/>
        <v>#NUM!</v>
      </c>
      <c r="AC23" s="141" t="e">
        <f t="shared" si="3"/>
        <v>#NUM!</v>
      </c>
      <c r="AD23" s="141" t="e">
        <f t="shared" si="3"/>
        <v>#NUM!</v>
      </c>
      <c r="AE23" s="142" t="e">
        <f t="shared" si="3"/>
        <v>#NUM!</v>
      </c>
      <c r="AF23" s="30"/>
      <c r="AG23" s="31" t="e">
        <f t="shared" si="4"/>
        <v>#NUM!</v>
      </c>
    </row>
    <row r="24" spans="3:33" x14ac:dyDescent="0.25">
      <c r="C24" s="105" t="s">
        <v>12</v>
      </c>
      <c r="D24" s="6"/>
      <c r="E24" s="99">
        <v>397.8174013059176</v>
      </c>
      <c r="F24" s="100">
        <v>374.1521169784686</v>
      </c>
      <c r="G24" s="100">
        <v>305.21957765792075</v>
      </c>
      <c r="H24" s="100">
        <v>397.7294356931904</v>
      </c>
      <c r="I24" s="100">
        <v>335.30808608831637</v>
      </c>
      <c r="J24" s="100"/>
      <c r="K24" s="100"/>
      <c r="L24" s="100"/>
      <c r="M24" s="100"/>
      <c r="N24" s="101"/>
      <c r="O24" s="136"/>
      <c r="P24" s="31">
        <f t="shared" si="2"/>
        <v>362.04532354476277</v>
      </c>
      <c r="S24" s="13"/>
      <c r="U24" s="30"/>
      <c r="V24" s="140">
        <f t="shared" si="3"/>
        <v>598.59931093191392</v>
      </c>
      <c r="W24" s="141">
        <f t="shared" si="3"/>
        <v>592.4662444611306</v>
      </c>
      <c r="X24" s="141">
        <f t="shared" si="3"/>
        <v>572.10314443317429</v>
      </c>
      <c r="Y24" s="141">
        <f t="shared" si="3"/>
        <v>598.57719642928635</v>
      </c>
      <c r="Z24" s="141">
        <f t="shared" si="3"/>
        <v>581.50497691620603</v>
      </c>
      <c r="AA24" s="141" t="e">
        <f t="shared" si="3"/>
        <v>#NUM!</v>
      </c>
      <c r="AB24" s="141" t="e">
        <f t="shared" si="3"/>
        <v>#NUM!</v>
      </c>
      <c r="AC24" s="141" t="e">
        <f t="shared" si="3"/>
        <v>#NUM!</v>
      </c>
      <c r="AD24" s="141" t="e">
        <f t="shared" si="3"/>
        <v>#NUM!</v>
      </c>
      <c r="AE24" s="142" t="e">
        <f t="shared" si="3"/>
        <v>#NUM!</v>
      </c>
      <c r="AF24" s="30"/>
      <c r="AG24" s="31" t="e">
        <f t="shared" si="4"/>
        <v>#NUM!</v>
      </c>
    </row>
    <row r="25" spans="3:33" x14ac:dyDescent="0.25">
      <c r="C25" s="105" t="s">
        <v>13</v>
      </c>
      <c r="D25" s="6"/>
      <c r="E25" s="99">
        <v>819.70211089506711</v>
      </c>
      <c r="F25" s="100">
        <v>696.59997055858105</v>
      </c>
      <c r="G25" s="100">
        <v>636.84102388508654</v>
      </c>
      <c r="H25" s="100">
        <v>738.02815088472062</v>
      </c>
      <c r="I25" s="100">
        <v>758.22047139134395</v>
      </c>
      <c r="J25" s="100"/>
      <c r="K25" s="100"/>
      <c r="L25" s="100"/>
      <c r="M25" s="100"/>
      <c r="N25" s="101"/>
      <c r="O25" s="136"/>
      <c r="P25" s="31">
        <f t="shared" si="2"/>
        <v>729.87834552295976</v>
      </c>
      <c r="S25" s="13"/>
      <c r="U25" s="30"/>
      <c r="V25" s="140">
        <f t="shared" si="3"/>
        <v>670.8940994860094</v>
      </c>
      <c r="W25" s="141">
        <f t="shared" si="3"/>
        <v>654.62113156674457</v>
      </c>
      <c r="X25" s="141">
        <f t="shared" si="3"/>
        <v>645.65200543852677</v>
      </c>
      <c r="Y25" s="141">
        <f t="shared" si="3"/>
        <v>660.39819687032218</v>
      </c>
      <c r="Z25" s="141">
        <f t="shared" si="3"/>
        <v>663.09742027063248</v>
      </c>
      <c r="AA25" s="141" t="e">
        <f t="shared" si="3"/>
        <v>#NUM!</v>
      </c>
      <c r="AB25" s="141" t="e">
        <f t="shared" si="3"/>
        <v>#NUM!</v>
      </c>
      <c r="AC25" s="141" t="e">
        <f t="shared" si="3"/>
        <v>#NUM!</v>
      </c>
      <c r="AD25" s="141" t="e">
        <f t="shared" si="3"/>
        <v>#NUM!</v>
      </c>
      <c r="AE25" s="142" t="e">
        <f t="shared" si="3"/>
        <v>#NUM!</v>
      </c>
      <c r="AF25" s="30"/>
      <c r="AG25" s="31" t="e">
        <f t="shared" si="4"/>
        <v>#NUM!</v>
      </c>
    </row>
    <row r="26" spans="3:33" x14ac:dyDescent="0.25">
      <c r="C26" s="105" t="s">
        <v>14</v>
      </c>
      <c r="D26" s="6"/>
      <c r="E26" s="99">
        <v>433.57928943384536</v>
      </c>
      <c r="F26" s="100">
        <v>438.49087670819864</v>
      </c>
      <c r="G26" s="100">
        <v>336.87598329006323</v>
      </c>
      <c r="H26" s="100">
        <v>418.24559268320269</v>
      </c>
      <c r="I26" s="100">
        <v>438.65041357454646</v>
      </c>
      <c r="J26" s="100"/>
      <c r="K26" s="100"/>
      <c r="L26" s="100"/>
      <c r="M26" s="100"/>
      <c r="N26" s="101"/>
      <c r="O26" s="136"/>
      <c r="P26" s="31">
        <f t="shared" si="2"/>
        <v>413.1684311379712</v>
      </c>
      <c r="S26" s="13"/>
      <c r="U26" s="30"/>
      <c r="V26" s="140">
        <f t="shared" si="3"/>
        <v>607.20746847638532</v>
      </c>
      <c r="W26" s="141">
        <f t="shared" si="3"/>
        <v>608.33390059132398</v>
      </c>
      <c r="X26" s="141">
        <f t="shared" si="3"/>
        <v>581.97148605163318</v>
      </c>
      <c r="Y26" s="141">
        <f t="shared" si="3"/>
        <v>603.60688022936677</v>
      </c>
      <c r="Z26" s="141">
        <f t="shared" si="3"/>
        <v>608.3702771408889</v>
      </c>
      <c r="AA26" s="141" t="e">
        <f t="shared" si="3"/>
        <v>#NUM!</v>
      </c>
      <c r="AB26" s="141" t="e">
        <f t="shared" si="3"/>
        <v>#NUM!</v>
      </c>
      <c r="AC26" s="141" t="e">
        <f t="shared" si="3"/>
        <v>#NUM!</v>
      </c>
      <c r="AD26" s="141" t="e">
        <f t="shared" si="3"/>
        <v>#NUM!</v>
      </c>
      <c r="AE26" s="142" t="e">
        <f t="shared" si="3"/>
        <v>#NUM!</v>
      </c>
      <c r="AF26" s="30"/>
      <c r="AG26" s="31" t="e">
        <f t="shared" si="4"/>
        <v>#NUM!</v>
      </c>
    </row>
    <row r="27" spans="3:33" x14ac:dyDescent="0.25">
      <c r="C27" s="105" t="s">
        <v>15</v>
      </c>
      <c r="D27" s="6"/>
      <c r="E27" s="99">
        <v>371.32223850460889</v>
      </c>
      <c r="F27" s="100">
        <v>344.21922254034251</v>
      </c>
      <c r="G27" s="100">
        <v>360.70406139588107</v>
      </c>
      <c r="H27" s="100">
        <v>363.87887008461479</v>
      </c>
      <c r="I27" s="100">
        <v>377.10249974704601</v>
      </c>
      <c r="J27" s="100"/>
      <c r="K27" s="100"/>
      <c r="L27" s="100"/>
      <c r="M27" s="100"/>
      <c r="N27" s="101"/>
      <c r="O27" s="136"/>
      <c r="P27" s="31">
        <f t="shared" si="2"/>
        <v>363.44537845449867</v>
      </c>
      <c r="S27" s="13"/>
      <c r="U27" s="30"/>
      <c r="V27" s="140">
        <f t="shared" si="3"/>
        <v>591.70702530189169</v>
      </c>
      <c r="W27" s="141">
        <f t="shared" si="3"/>
        <v>584.12787292266012</v>
      </c>
      <c r="X27" s="141">
        <f t="shared" si="3"/>
        <v>588.80578476073481</v>
      </c>
      <c r="Y27" s="141">
        <f t="shared" si="3"/>
        <v>589.68210377622063</v>
      </c>
      <c r="Z27" s="141">
        <f t="shared" si="3"/>
        <v>593.2517033112789</v>
      </c>
      <c r="AA27" s="141" t="e">
        <f t="shared" si="3"/>
        <v>#NUM!</v>
      </c>
      <c r="AB27" s="141" t="e">
        <f t="shared" si="3"/>
        <v>#NUM!</v>
      </c>
      <c r="AC27" s="141" t="e">
        <f t="shared" si="3"/>
        <v>#NUM!</v>
      </c>
      <c r="AD27" s="141" t="e">
        <f t="shared" si="3"/>
        <v>#NUM!</v>
      </c>
      <c r="AE27" s="142" t="e">
        <f t="shared" si="3"/>
        <v>#NUM!</v>
      </c>
      <c r="AF27" s="30"/>
      <c r="AG27" s="31" t="e">
        <f t="shared" si="4"/>
        <v>#NUM!</v>
      </c>
    </row>
    <row r="28" spans="3:33" x14ac:dyDescent="0.25">
      <c r="C28" s="105" t="s">
        <v>16</v>
      </c>
      <c r="D28" s="6"/>
      <c r="E28" s="99">
        <v>538.52150430516872</v>
      </c>
      <c r="F28" s="100">
        <v>511.39108401823421</v>
      </c>
      <c r="G28" s="100">
        <v>431.69228656815437</v>
      </c>
      <c r="H28" s="100">
        <v>393.06171903373519</v>
      </c>
      <c r="I28" s="100">
        <v>399.40846170893167</v>
      </c>
      <c r="J28" s="100">
        <v>434.96320648046452</v>
      </c>
      <c r="K28" s="100"/>
      <c r="L28" s="100"/>
      <c r="M28" s="100"/>
      <c r="N28" s="101"/>
      <c r="O28" s="136"/>
      <c r="P28" s="31">
        <f t="shared" si="2"/>
        <v>451.50637701911478</v>
      </c>
      <c r="S28" s="13"/>
      <c r="U28" s="30"/>
      <c r="V28" s="140">
        <f t="shared" si="3"/>
        <v>628.88274295134477</v>
      </c>
      <c r="W28" s="141">
        <f t="shared" si="3"/>
        <v>623.71346282472132</v>
      </c>
      <c r="X28" s="141">
        <f t="shared" si="3"/>
        <v>606.77130348274579</v>
      </c>
      <c r="Y28" s="141">
        <f t="shared" si="3"/>
        <v>597.39666454262135</v>
      </c>
      <c r="Z28" s="141">
        <f t="shared" si="3"/>
        <v>598.99846068087004</v>
      </c>
      <c r="AA28" s="141">
        <f t="shared" si="3"/>
        <v>607.5261444707827</v>
      </c>
      <c r="AB28" s="141" t="e">
        <f t="shared" si="3"/>
        <v>#NUM!</v>
      </c>
      <c r="AC28" s="141" t="e">
        <f t="shared" si="3"/>
        <v>#NUM!</v>
      </c>
      <c r="AD28" s="141" t="e">
        <f t="shared" si="3"/>
        <v>#NUM!</v>
      </c>
      <c r="AE28" s="142" t="e">
        <f t="shared" si="3"/>
        <v>#NUM!</v>
      </c>
      <c r="AF28" s="30"/>
      <c r="AG28" s="31" t="e">
        <f t="shared" si="4"/>
        <v>#NUM!</v>
      </c>
    </row>
    <row r="29" spans="3:33" x14ac:dyDescent="0.25">
      <c r="C29" s="105" t="s">
        <v>17</v>
      </c>
      <c r="D29" s="6"/>
      <c r="E29" s="99">
        <v>413.1992047488161</v>
      </c>
      <c r="F29" s="100">
        <v>486.78150971415977</v>
      </c>
      <c r="G29" s="100">
        <v>433.98754218539904</v>
      </c>
      <c r="H29" s="100">
        <v>444.94469014311164</v>
      </c>
      <c r="I29" s="100">
        <v>385.39716794374999</v>
      </c>
      <c r="J29" s="100">
        <v>408.78592671566179</v>
      </c>
      <c r="K29" s="100"/>
      <c r="L29" s="100"/>
      <c r="M29" s="100"/>
      <c r="N29" s="101"/>
      <c r="O29" s="136"/>
      <c r="P29" s="31">
        <f t="shared" si="2"/>
        <v>428.84934024181638</v>
      </c>
      <c r="S29" s="13"/>
      <c r="U29" s="30"/>
      <c r="V29" s="140">
        <f t="shared" si="3"/>
        <v>602.3929812627988</v>
      </c>
      <c r="W29" s="141">
        <f t="shared" si="3"/>
        <v>618.78153770603512</v>
      </c>
      <c r="X29" s="141">
        <f t="shared" si="3"/>
        <v>607.30158290464806</v>
      </c>
      <c r="Y29" s="141">
        <f t="shared" si="3"/>
        <v>609.79499826281403</v>
      </c>
      <c r="Z29" s="141">
        <f t="shared" si="3"/>
        <v>595.42744075976623</v>
      </c>
      <c r="AA29" s="141">
        <f t="shared" si="3"/>
        <v>601.31916124545967</v>
      </c>
      <c r="AB29" s="141" t="e">
        <f t="shared" si="3"/>
        <v>#NUM!</v>
      </c>
      <c r="AC29" s="141" t="e">
        <f t="shared" si="3"/>
        <v>#NUM!</v>
      </c>
      <c r="AD29" s="141" t="e">
        <f t="shared" si="3"/>
        <v>#NUM!</v>
      </c>
      <c r="AE29" s="142" t="e">
        <f t="shared" si="3"/>
        <v>#NUM!</v>
      </c>
      <c r="AF29" s="30"/>
      <c r="AG29" s="31" t="e">
        <f t="shared" si="4"/>
        <v>#NUM!</v>
      </c>
    </row>
    <row r="30" spans="3:33" x14ac:dyDescent="0.25">
      <c r="C30" s="105" t="s">
        <v>18</v>
      </c>
      <c r="D30" s="6"/>
      <c r="E30" s="99">
        <v>556.95340413485917</v>
      </c>
      <c r="F30" s="100">
        <v>513.63080360087929</v>
      </c>
      <c r="G30" s="100">
        <v>541.56208400952914</v>
      </c>
      <c r="H30" s="100">
        <v>633.49136571557835</v>
      </c>
      <c r="I30" s="100">
        <v>626.15003979730523</v>
      </c>
      <c r="J30" s="100">
        <v>531.59913621465432</v>
      </c>
      <c r="K30" s="100"/>
      <c r="L30" s="100"/>
      <c r="M30" s="100"/>
      <c r="N30" s="101"/>
      <c r="O30" s="136"/>
      <c r="P30" s="31">
        <f t="shared" si="2"/>
        <v>567.23113891213416</v>
      </c>
      <c r="S30" s="13"/>
      <c r="U30" s="30"/>
      <c r="V30" s="140">
        <f t="shared" si="3"/>
        <v>632.24815813738917</v>
      </c>
      <c r="W30" s="141">
        <f t="shared" si="3"/>
        <v>624.15047264356815</v>
      </c>
      <c r="X30" s="141">
        <f t="shared" si="3"/>
        <v>629.44577117795052</v>
      </c>
      <c r="Y30" s="141">
        <f t="shared" si="3"/>
        <v>645.12463701743548</v>
      </c>
      <c r="Z30" s="141">
        <f t="shared" si="3"/>
        <v>643.95900225687797</v>
      </c>
      <c r="AA30" s="141">
        <f t="shared" si="3"/>
        <v>627.58897019593917</v>
      </c>
      <c r="AB30" s="141" t="e">
        <f t="shared" si="3"/>
        <v>#NUM!</v>
      </c>
      <c r="AC30" s="141" t="e">
        <f t="shared" si="3"/>
        <v>#NUM!</v>
      </c>
      <c r="AD30" s="141" t="e">
        <f t="shared" si="3"/>
        <v>#NUM!</v>
      </c>
      <c r="AE30" s="142" t="e">
        <f t="shared" si="3"/>
        <v>#NUM!</v>
      </c>
      <c r="AF30" s="30"/>
      <c r="AG30" s="31" t="e">
        <f t="shared" si="4"/>
        <v>#NUM!</v>
      </c>
    </row>
    <row r="31" spans="3:33" x14ac:dyDescent="0.25">
      <c r="C31" s="105" t="s">
        <v>19</v>
      </c>
      <c r="D31" s="6"/>
      <c r="E31" s="99">
        <v>316.89839004473288</v>
      </c>
      <c r="F31" s="100">
        <v>279.93388890001791</v>
      </c>
      <c r="G31" s="100">
        <v>291.43907001698881</v>
      </c>
      <c r="H31" s="100">
        <v>292.08938694681126</v>
      </c>
      <c r="I31" s="100">
        <v>298.55637470018604</v>
      </c>
      <c r="J31" s="100">
        <v>258.44743806062189</v>
      </c>
      <c r="K31" s="100"/>
      <c r="L31" s="100"/>
      <c r="M31" s="100"/>
      <c r="N31" s="101"/>
      <c r="O31" s="136"/>
      <c r="P31" s="31">
        <f t="shared" si="2"/>
        <v>289.56075811155978</v>
      </c>
      <c r="S31" s="13"/>
      <c r="U31" s="30"/>
      <c r="V31" s="140">
        <f t="shared" si="3"/>
        <v>575.85811863581034</v>
      </c>
      <c r="W31" s="141">
        <f t="shared" si="3"/>
        <v>563.45534642192774</v>
      </c>
      <c r="X31" s="141">
        <f t="shared" si="3"/>
        <v>567.48309617021789</v>
      </c>
      <c r="Y31" s="141">
        <f t="shared" si="3"/>
        <v>567.70598751040723</v>
      </c>
      <c r="Z31" s="141">
        <f t="shared" si="3"/>
        <v>569.89587749679811</v>
      </c>
      <c r="AA31" s="141">
        <f t="shared" si="3"/>
        <v>555.46923388849348</v>
      </c>
      <c r="AB31" s="141" t="e">
        <f t="shared" si="3"/>
        <v>#NUM!</v>
      </c>
      <c r="AC31" s="141" t="e">
        <f t="shared" si="3"/>
        <v>#NUM!</v>
      </c>
      <c r="AD31" s="141" t="e">
        <f t="shared" si="3"/>
        <v>#NUM!</v>
      </c>
      <c r="AE31" s="142" t="e">
        <f t="shared" si="3"/>
        <v>#NUM!</v>
      </c>
      <c r="AF31" s="30"/>
      <c r="AG31" s="31" t="e">
        <f t="shared" si="4"/>
        <v>#NUM!</v>
      </c>
    </row>
    <row r="32" spans="3:33" x14ac:dyDescent="0.25">
      <c r="C32" s="105" t="s">
        <v>20</v>
      </c>
      <c r="D32" s="6"/>
      <c r="E32" s="99">
        <v>439.27428960093374</v>
      </c>
      <c r="F32" s="100">
        <v>399.83619734658271</v>
      </c>
      <c r="G32" s="100">
        <v>376.18986011140521</v>
      </c>
      <c r="H32" s="100">
        <v>465.38771664652137</v>
      </c>
      <c r="I32" s="100">
        <v>374.99979796285737</v>
      </c>
      <c r="J32" s="100">
        <v>371.22254616958759</v>
      </c>
      <c r="K32" s="100"/>
      <c r="L32" s="100"/>
      <c r="M32" s="100"/>
      <c r="N32" s="101"/>
      <c r="O32" s="136"/>
      <c r="P32" s="31">
        <f t="shared" si="2"/>
        <v>404.48506797298131</v>
      </c>
      <c r="S32" s="13"/>
      <c r="U32" s="30"/>
      <c r="V32" s="140">
        <f t="shared" si="3"/>
        <v>608.51240234345983</v>
      </c>
      <c r="W32" s="141">
        <f t="shared" si="3"/>
        <v>599.10549566036991</v>
      </c>
      <c r="X32" s="141">
        <f t="shared" si="3"/>
        <v>593.00939630518053</v>
      </c>
      <c r="Y32" s="141">
        <f t="shared" si="3"/>
        <v>614.2870857409705</v>
      </c>
      <c r="Z32" s="141">
        <f t="shared" si="3"/>
        <v>592.69254872045519</v>
      </c>
      <c r="AA32" s="141">
        <f t="shared" si="3"/>
        <v>591.68017376709463</v>
      </c>
      <c r="AB32" s="141" t="e">
        <f t="shared" si="3"/>
        <v>#NUM!</v>
      </c>
      <c r="AC32" s="141" t="e">
        <f t="shared" si="3"/>
        <v>#NUM!</v>
      </c>
      <c r="AD32" s="141" t="e">
        <f t="shared" si="3"/>
        <v>#NUM!</v>
      </c>
      <c r="AE32" s="142" t="e">
        <f t="shared" si="3"/>
        <v>#NUM!</v>
      </c>
      <c r="AF32" s="30"/>
      <c r="AG32" s="31" t="e">
        <f t="shared" si="4"/>
        <v>#NUM!</v>
      </c>
    </row>
    <row r="33" spans="3:34" x14ac:dyDescent="0.25">
      <c r="C33" s="105" t="s">
        <v>22</v>
      </c>
      <c r="D33" s="6"/>
      <c r="E33" s="99">
        <v>423.0528200283083</v>
      </c>
      <c r="F33" s="100">
        <v>339.76469727793346</v>
      </c>
      <c r="G33" s="100">
        <v>405.52800826292861</v>
      </c>
      <c r="H33" s="100">
        <v>371.98636681660139</v>
      </c>
      <c r="I33" s="100">
        <v>402.53407302201936</v>
      </c>
      <c r="J33" s="100">
        <v>465.91481263744009</v>
      </c>
      <c r="K33" s="100"/>
      <c r="L33" s="100"/>
      <c r="M33" s="100"/>
      <c r="N33" s="101"/>
      <c r="O33" s="136"/>
      <c r="P33" s="31">
        <f t="shared" si="2"/>
        <v>401.46346300753856</v>
      </c>
      <c r="S33" s="13"/>
      <c r="U33" s="30"/>
      <c r="V33" s="140">
        <f t="shared" si="3"/>
        <v>604.74970412939456</v>
      </c>
      <c r="W33" s="141">
        <f t="shared" si="3"/>
        <v>582.82533111918042</v>
      </c>
      <c r="X33" s="141">
        <f t="shared" si="3"/>
        <v>600.51899421021869</v>
      </c>
      <c r="Y33" s="141">
        <f t="shared" si="3"/>
        <v>591.88572052591098</v>
      </c>
      <c r="Z33" s="141">
        <f t="shared" si="3"/>
        <v>599.77797467465712</v>
      </c>
      <c r="AA33" s="141">
        <f t="shared" si="3"/>
        <v>614.40028119156284</v>
      </c>
      <c r="AB33" s="141" t="e">
        <f t="shared" si="3"/>
        <v>#NUM!</v>
      </c>
      <c r="AC33" s="141" t="e">
        <f t="shared" si="3"/>
        <v>#NUM!</v>
      </c>
      <c r="AD33" s="141" t="e">
        <f t="shared" si="3"/>
        <v>#NUM!</v>
      </c>
      <c r="AE33" s="142" t="e">
        <f t="shared" si="3"/>
        <v>#NUM!</v>
      </c>
      <c r="AF33" s="30"/>
      <c r="AG33" s="31" t="e">
        <f t="shared" si="4"/>
        <v>#NUM!</v>
      </c>
    </row>
    <row r="34" spans="3:34" x14ac:dyDescent="0.25">
      <c r="C34" s="105" t="s">
        <v>21</v>
      </c>
      <c r="D34" s="6"/>
      <c r="E34" s="99">
        <v>521.77313499707179</v>
      </c>
      <c r="F34" s="100">
        <v>446.27946500977635</v>
      </c>
      <c r="G34" s="100">
        <v>559.38506721852252</v>
      </c>
      <c r="H34" s="100">
        <v>511.12887240568961</v>
      </c>
      <c r="I34" s="100">
        <v>562.78318349777203</v>
      </c>
      <c r="J34" s="100">
        <v>400.14436280034755</v>
      </c>
      <c r="K34" s="100"/>
      <c r="L34" s="100"/>
      <c r="M34" s="100"/>
      <c r="N34" s="101"/>
      <c r="O34" s="136"/>
      <c r="P34" s="31">
        <f t="shared" si="2"/>
        <v>500.24901432153001</v>
      </c>
      <c r="S34" s="13"/>
      <c r="U34" s="30"/>
      <c r="V34" s="140">
        <f t="shared" si="3"/>
        <v>625.72328861282176</v>
      </c>
      <c r="W34" s="141">
        <f t="shared" si="3"/>
        <v>610.09453589472059</v>
      </c>
      <c r="X34" s="141">
        <f t="shared" si="3"/>
        <v>632.68380861293338</v>
      </c>
      <c r="Y34" s="141">
        <f t="shared" si="3"/>
        <v>623.66217548961447</v>
      </c>
      <c r="Z34" s="141">
        <f t="shared" si="3"/>
        <v>633.28944447258914</v>
      </c>
      <c r="AA34" s="141">
        <f t="shared" si="3"/>
        <v>599.18253889975847</v>
      </c>
      <c r="AB34" s="141" t="e">
        <f t="shared" si="3"/>
        <v>#NUM!</v>
      </c>
      <c r="AC34" s="141" t="e">
        <f t="shared" si="3"/>
        <v>#NUM!</v>
      </c>
      <c r="AD34" s="141" t="e">
        <f t="shared" si="3"/>
        <v>#NUM!</v>
      </c>
      <c r="AE34" s="142" t="e">
        <f t="shared" si="3"/>
        <v>#NUM!</v>
      </c>
      <c r="AF34" s="30"/>
      <c r="AG34" s="31" t="e">
        <f t="shared" si="4"/>
        <v>#NUM!</v>
      </c>
    </row>
    <row r="35" spans="3:34" x14ac:dyDescent="0.25">
      <c r="C35" s="105" t="s">
        <v>23</v>
      </c>
      <c r="D35" s="6"/>
      <c r="E35" s="102">
        <v>275.36252278275009</v>
      </c>
      <c r="F35" s="103">
        <v>256.94515153626128</v>
      </c>
      <c r="G35" s="103">
        <v>286.10478672215783</v>
      </c>
      <c r="H35" s="103">
        <v>302.58339232455791</v>
      </c>
      <c r="I35" s="103">
        <v>292.21624802501333</v>
      </c>
      <c r="J35" s="103">
        <v>306.20302749542731</v>
      </c>
      <c r="K35" s="103">
        <v>325.11817295157954</v>
      </c>
      <c r="L35" s="103">
        <v>281.52703187920127</v>
      </c>
      <c r="M35" s="103">
        <v>259.66409626564837</v>
      </c>
      <c r="N35" s="104">
        <v>291.5873642277719</v>
      </c>
      <c r="O35" s="136"/>
      <c r="P35" s="31">
        <f t="shared" si="2"/>
        <v>287.73117942103687</v>
      </c>
      <c r="S35" s="13"/>
      <c r="U35" s="30"/>
      <c r="V35" s="143">
        <f t="shared" si="3"/>
        <v>561.80884941831368</v>
      </c>
      <c r="W35" s="144">
        <f t="shared" si="3"/>
        <v>554.88626439714835</v>
      </c>
      <c r="X35" s="144">
        <f t="shared" si="3"/>
        <v>565.6358130856886</v>
      </c>
      <c r="Y35" s="144">
        <f t="shared" si="3"/>
        <v>571.2356916584921</v>
      </c>
      <c r="Z35" s="144">
        <f t="shared" si="3"/>
        <v>567.74941036057419</v>
      </c>
      <c r="AA35" s="144">
        <f t="shared" si="3"/>
        <v>572.42483704883136</v>
      </c>
      <c r="AB35" s="144">
        <f t="shared" si="3"/>
        <v>578.4188725321759</v>
      </c>
      <c r="AC35" s="144">
        <f t="shared" si="3"/>
        <v>564.02284709594107</v>
      </c>
      <c r="AD35" s="144">
        <f t="shared" si="3"/>
        <v>555.938885830505</v>
      </c>
      <c r="AE35" s="145">
        <f t="shared" si="3"/>
        <v>567.5339666643398</v>
      </c>
      <c r="AF35" s="30"/>
      <c r="AG35" s="31">
        <f t="shared" si="4"/>
        <v>565.96554380920099</v>
      </c>
    </row>
    <row r="36" spans="3:34" x14ac:dyDescent="0.25">
      <c r="C36" s="133"/>
      <c r="D36" s="146"/>
      <c r="E36" s="147"/>
      <c r="F36" s="147"/>
      <c r="G36" s="147"/>
      <c r="H36" s="147"/>
      <c r="I36" s="147"/>
      <c r="J36" s="147"/>
      <c r="K36" s="147"/>
      <c r="L36" s="147"/>
      <c r="M36" s="147"/>
      <c r="N36" s="147"/>
      <c r="O36" s="147"/>
      <c r="P36" s="32"/>
      <c r="R36" s="13"/>
      <c r="S36" s="13"/>
      <c r="U36" s="32"/>
      <c r="V36" s="32"/>
      <c r="W36" s="32"/>
      <c r="X36" s="32"/>
      <c r="Y36" s="32"/>
      <c r="Z36" s="32"/>
      <c r="AA36" s="32"/>
      <c r="AB36" s="32"/>
      <c r="AF36" s="32"/>
      <c r="AG36" s="32"/>
    </row>
    <row r="37" spans="3:34" x14ac:dyDescent="0.25">
      <c r="F37" s="30"/>
      <c r="G37" s="30"/>
      <c r="H37" s="30"/>
      <c r="I37" s="30"/>
      <c r="J37" s="30"/>
      <c r="K37" s="30"/>
      <c r="L37" s="30"/>
      <c r="M37" s="30"/>
      <c r="N37" s="30"/>
      <c r="O37" s="148" t="s">
        <v>2</v>
      </c>
      <c r="P37" s="149">
        <f>AVERAGE(P15:P35)</f>
        <v>450.74080848259308</v>
      </c>
      <c r="Q37" s="150" t="s">
        <v>1</v>
      </c>
      <c r="R37" s="13"/>
      <c r="S37" s="13"/>
      <c r="U37" s="30"/>
      <c r="V37" s="30"/>
      <c r="W37" s="30"/>
      <c r="X37" s="30"/>
      <c r="Y37" s="30"/>
      <c r="Z37" s="30"/>
      <c r="AA37" s="30"/>
      <c r="AB37" s="30"/>
      <c r="AC37" s="30"/>
      <c r="AD37" s="30"/>
      <c r="AE37" s="30"/>
      <c r="AF37" s="148" t="s">
        <v>2</v>
      </c>
      <c r="AG37" s="149" t="e">
        <f>AVERAGE(AG15:AG35)</f>
        <v>#NUM!</v>
      </c>
      <c r="AH37" s="150" t="s">
        <v>1</v>
      </c>
    </row>
    <row r="38" spans="3:34" x14ac:dyDescent="0.25">
      <c r="D38" s="33" t="s">
        <v>2</v>
      </c>
      <c r="E38" s="34">
        <f t="shared" ref="E38:N38" si="5">AVERAGE(E16:E35)</f>
        <v>463.97673275651289</v>
      </c>
      <c r="F38" s="34">
        <f t="shared" si="5"/>
        <v>445.83155738263042</v>
      </c>
      <c r="G38" s="34">
        <f t="shared" si="5"/>
        <v>414.69997342007179</v>
      </c>
      <c r="H38" s="34">
        <f t="shared" si="5"/>
        <v>447.87636166149485</v>
      </c>
      <c r="I38" s="34">
        <f t="shared" si="5"/>
        <v>454.05587812786553</v>
      </c>
      <c r="J38" s="34">
        <f t="shared" si="5"/>
        <v>397.16005707177561</v>
      </c>
      <c r="K38" s="34">
        <f t="shared" si="5"/>
        <v>325.11817295157954</v>
      </c>
      <c r="L38" s="34">
        <f t="shared" si="5"/>
        <v>281.52703187920127</v>
      </c>
      <c r="M38" s="34">
        <f t="shared" si="5"/>
        <v>259.66409626564837</v>
      </c>
      <c r="N38" s="34">
        <f t="shared" si="5"/>
        <v>291.5873642277719</v>
      </c>
      <c r="O38" s="149">
        <f>AVERAGE(E38:N38)</f>
        <v>378.14972257445527</v>
      </c>
      <c r="P38" s="149">
        <f>AVERAGE(E16:N35)</f>
        <v>435.78929691077991</v>
      </c>
      <c r="Q38" s="151">
        <f>STDEV(E38:N38)</f>
        <v>80.241402364342349</v>
      </c>
      <c r="U38" s="33" t="s">
        <v>2</v>
      </c>
      <c r="V38" s="34">
        <f t="shared" ref="V38:AE38" si="6">AVERAGE(V16:V35)</f>
        <v>610.75569795711544</v>
      </c>
      <c r="W38" s="34">
        <f t="shared" si="6"/>
        <v>607.17746925182371</v>
      </c>
      <c r="X38" s="34" t="e">
        <f t="shared" si="6"/>
        <v>#NUM!</v>
      </c>
      <c r="Y38" s="34" t="e">
        <f t="shared" si="6"/>
        <v>#NUM!</v>
      </c>
      <c r="Z38" s="34" t="e">
        <f t="shared" si="6"/>
        <v>#NUM!</v>
      </c>
      <c r="AA38" s="34" t="e">
        <f t="shared" si="6"/>
        <v>#NUM!</v>
      </c>
      <c r="AB38" s="34" t="e">
        <f t="shared" si="6"/>
        <v>#NUM!</v>
      </c>
      <c r="AC38" s="34" t="e">
        <f t="shared" si="6"/>
        <v>#NUM!</v>
      </c>
      <c r="AD38" s="34" t="e">
        <f t="shared" si="6"/>
        <v>#NUM!</v>
      </c>
      <c r="AE38" s="34" t="e">
        <f t="shared" si="6"/>
        <v>#NUM!</v>
      </c>
      <c r="AF38" s="149" t="e">
        <f>AVERAGE(V38:AE38)</f>
        <v>#NUM!</v>
      </c>
      <c r="AG38" s="149" t="e">
        <f>AVERAGE(V16:AE35)</f>
        <v>#NUM!</v>
      </c>
      <c r="AH38" s="182" t="e">
        <f>STDEV(V38:AE38)</f>
        <v>#NUM!</v>
      </c>
    </row>
    <row r="39" spans="3:34" ht="13.8" thickBot="1" x14ac:dyDescent="0.3">
      <c r="E39" s="13"/>
      <c r="F39" s="13"/>
      <c r="G39" s="13"/>
      <c r="H39" s="13"/>
      <c r="I39" s="13"/>
      <c r="J39" s="13"/>
      <c r="K39" s="13"/>
      <c r="L39" s="13"/>
      <c r="M39" s="13"/>
      <c r="N39" s="13"/>
      <c r="O39" s="152" t="s">
        <v>1</v>
      </c>
      <c r="P39" s="153">
        <f>STDEV(P16:P35)</f>
        <v>108.63786646367591</v>
      </c>
      <c r="Q39" s="154">
        <f>STDEV(E16:N35)</f>
        <v>117.61234424873157</v>
      </c>
      <c r="R39" s="13"/>
      <c r="S39" s="13"/>
      <c r="T39" s="13"/>
      <c r="U39" s="13"/>
      <c r="V39" s="13"/>
      <c r="W39" s="13"/>
      <c r="X39" s="13"/>
      <c r="Y39" s="13"/>
      <c r="AF39" s="152" t="s">
        <v>1</v>
      </c>
      <c r="AG39" s="182" t="e">
        <f>STDEV(AG16:AG35)</f>
        <v>#NUM!</v>
      </c>
      <c r="AH39" s="182" t="e">
        <f>STDEV(V16:AE35)</f>
        <v>#NUM!</v>
      </c>
    </row>
    <row r="40" spans="3:34" x14ac:dyDescent="0.25">
      <c r="C40" s="155" t="s">
        <v>24</v>
      </c>
      <c r="D40" s="156"/>
      <c r="E40" s="157"/>
      <c r="F40" s="51" t="s">
        <v>57</v>
      </c>
      <c r="G40" s="51" t="s">
        <v>58</v>
      </c>
      <c r="H40" s="51" t="s">
        <v>74</v>
      </c>
      <c r="I40" s="160" t="s">
        <v>75</v>
      </c>
      <c r="J40" s="35"/>
      <c r="K40" s="35"/>
      <c r="L40" s="35"/>
      <c r="M40" s="35"/>
      <c r="N40" s="35"/>
      <c r="O40" s="35"/>
      <c r="S40" s="183"/>
      <c r="T40" s="51"/>
      <c r="U40" s="51"/>
      <c r="V40" s="159" t="s">
        <v>78</v>
      </c>
      <c r="W40" s="51" t="s">
        <v>57</v>
      </c>
      <c r="X40" s="51" t="s">
        <v>58</v>
      </c>
      <c r="Y40" s="51" t="s">
        <v>74</v>
      </c>
      <c r="Z40" s="160" t="s">
        <v>75</v>
      </c>
      <c r="AA40" s="35"/>
      <c r="AB40" s="35"/>
      <c r="AC40" s="35"/>
      <c r="AD40" s="35"/>
      <c r="AE40" s="35"/>
      <c r="AF40" s="12" t="s">
        <v>54</v>
      </c>
    </row>
    <row r="41" spans="3:34" x14ac:dyDescent="0.25">
      <c r="C41" s="79"/>
      <c r="D41" s="161" t="s">
        <v>65</v>
      </c>
      <c r="E41" s="46">
        <f>SQRT(E65)</f>
        <v>25.902126484448292</v>
      </c>
      <c r="F41" s="46">
        <f>SQRT(F65)</f>
        <v>20.564359410437355</v>
      </c>
      <c r="G41" s="46">
        <f>SQRT(G65)</f>
        <v>35.496543456368272</v>
      </c>
      <c r="H41" s="46"/>
      <c r="I41" s="56">
        <f>SQRT(G41/F41)</f>
        <v>1.3138187018590246</v>
      </c>
      <c r="J41" s="35"/>
      <c r="K41" s="35"/>
      <c r="L41" s="35"/>
      <c r="M41" s="35"/>
      <c r="N41" s="35"/>
      <c r="O41" s="35"/>
      <c r="S41" s="69"/>
      <c r="T41" s="65"/>
      <c r="U41" s="161" t="s">
        <v>79</v>
      </c>
      <c r="V41" s="67" t="e">
        <f t="shared" ref="V41:X46" si="7">EXP(V78/100)</f>
        <v>#NUM!</v>
      </c>
      <c r="W41" s="67" t="e">
        <f t="shared" si="7"/>
        <v>#NUM!</v>
      </c>
      <c r="X41" s="67" t="e">
        <f t="shared" si="7"/>
        <v>#NUM!</v>
      </c>
      <c r="Y41" s="65"/>
      <c r="Z41" s="56" t="e">
        <f>SQRT(X41/W41)</f>
        <v>#NUM!</v>
      </c>
      <c r="AA41" s="35"/>
      <c r="AB41" s="35"/>
      <c r="AC41" s="35"/>
      <c r="AD41" s="35"/>
      <c r="AE41" s="35"/>
      <c r="AF41" s="148" t="s">
        <v>2</v>
      </c>
      <c r="AG41" s="149" t="e">
        <f>EXP(AG37/100)</f>
        <v>#NUM!</v>
      </c>
      <c r="AH41" s="150" t="s">
        <v>55</v>
      </c>
    </row>
    <row r="42" spans="3:34" x14ac:dyDescent="0.25">
      <c r="C42" s="80"/>
      <c r="D42" s="163" t="s">
        <v>63</v>
      </c>
      <c r="E42" s="40">
        <f t="shared" ref="E42:G44" si="8">IF(ISERROR(SQRT(E66)),-SQRT(-E66),SQRT(E66))</f>
        <v>114.18841162325556</v>
      </c>
      <c r="F42" s="40">
        <f t="shared" si="8"/>
        <v>82.077923984963064</v>
      </c>
      <c r="G42" s="40">
        <f t="shared" si="8"/>
        <v>139.07264681598144</v>
      </c>
      <c r="H42" s="40">
        <f>(G42-F42)/2</f>
        <v>28.497361415509189</v>
      </c>
      <c r="I42" s="184"/>
      <c r="J42" s="35"/>
      <c r="K42" s="35"/>
      <c r="L42" s="35"/>
      <c r="M42" s="35"/>
      <c r="N42" s="35"/>
      <c r="O42" s="35"/>
      <c r="S42" s="70"/>
      <c r="T42" s="66"/>
      <c r="U42" s="163" t="s">
        <v>82</v>
      </c>
      <c r="V42" s="44" t="e">
        <f t="shared" si="7"/>
        <v>#NUM!</v>
      </c>
      <c r="W42" s="44" t="e">
        <f t="shared" si="7"/>
        <v>#NUM!</v>
      </c>
      <c r="X42" s="44" t="e">
        <f t="shared" si="7"/>
        <v>#NUM!</v>
      </c>
      <c r="Y42" s="66"/>
      <c r="Z42" s="53" t="e">
        <f>SQRT(X42/W42)</f>
        <v>#NUM!</v>
      </c>
      <c r="AA42" s="35"/>
      <c r="AB42" s="35"/>
      <c r="AC42" s="35"/>
      <c r="AD42" s="35"/>
      <c r="AE42" s="35"/>
      <c r="AF42" s="149" t="e">
        <f>EXP(AF38/100)</f>
        <v>#NUM!</v>
      </c>
      <c r="AG42" s="149" t="e">
        <f>EXP(AG38/100)</f>
        <v>#NUM!</v>
      </c>
      <c r="AH42" s="154" t="e">
        <f>100*EXP(AH38/100)-100</f>
        <v>#NUM!</v>
      </c>
    </row>
    <row r="43" spans="3:34" x14ac:dyDescent="0.25">
      <c r="C43" s="80"/>
      <c r="D43" s="163" t="s">
        <v>69</v>
      </c>
      <c r="E43" s="40">
        <f t="shared" si="8"/>
        <v>80.241402364342349</v>
      </c>
      <c r="F43" s="40">
        <f t="shared" si="8"/>
        <v>58.523825553634481</v>
      </c>
      <c r="G43" s="40">
        <f t="shared" si="8"/>
        <v>132.01296053580674</v>
      </c>
      <c r="H43" s="171"/>
      <c r="I43" s="53">
        <f>SQRT(G43/F43)</f>
        <v>1.5019031625840349</v>
      </c>
      <c r="J43" s="36"/>
      <c r="K43" s="36"/>
      <c r="L43" s="36"/>
      <c r="M43" s="36"/>
      <c r="N43" s="36"/>
      <c r="O43" s="36"/>
      <c r="S43" s="70"/>
      <c r="T43" s="66"/>
      <c r="U43" s="163" t="s">
        <v>81</v>
      </c>
      <c r="V43" s="44" t="e">
        <f t="shared" si="7"/>
        <v>#NUM!</v>
      </c>
      <c r="W43" s="44" t="e">
        <f t="shared" si="7"/>
        <v>#NUM!</v>
      </c>
      <c r="X43" s="44" t="e">
        <f t="shared" si="7"/>
        <v>#NUM!</v>
      </c>
      <c r="Y43" s="66"/>
      <c r="Z43" s="53" t="e">
        <f>SQRT(X43/W43)</f>
        <v>#NUM!</v>
      </c>
      <c r="AA43" s="36"/>
      <c r="AB43" s="35"/>
      <c r="AC43" s="35"/>
      <c r="AD43" s="35"/>
      <c r="AE43" s="36"/>
      <c r="AF43" s="152" t="s">
        <v>55</v>
      </c>
      <c r="AG43" s="154" t="e">
        <f>100*EXP(AG39/100)-100</f>
        <v>#NUM!</v>
      </c>
      <c r="AH43" s="154" t="e">
        <f>100*EXP(AH39/100)-100</f>
        <v>#NUM!</v>
      </c>
    </row>
    <row r="44" spans="3:34" x14ac:dyDescent="0.25">
      <c r="C44" s="80"/>
      <c r="D44" s="163" t="s">
        <v>70</v>
      </c>
      <c r="E44" s="40">
        <f t="shared" si="8"/>
        <v>84.006465900117291</v>
      </c>
      <c r="F44" s="40">
        <f t="shared" si="8"/>
        <v>45.424389082581413</v>
      </c>
      <c r="G44" s="40">
        <f t="shared" si="8"/>
        <v>109.77612446488261</v>
      </c>
      <c r="H44" s="40">
        <f>(G44-F44)/2</f>
        <v>32.1758676911506</v>
      </c>
      <c r="I44" s="184"/>
      <c r="J44" s="13"/>
      <c r="K44" s="13"/>
      <c r="L44" s="13"/>
      <c r="M44" s="36"/>
      <c r="N44" s="36"/>
      <c r="O44" s="36"/>
      <c r="S44" s="70"/>
      <c r="T44" s="66"/>
      <c r="U44" s="163" t="s">
        <v>83</v>
      </c>
      <c r="V44" s="44" t="e">
        <f t="shared" si="7"/>
        <v>#NUM!</v>
      </c>
      <c r="W44" s="44" t="e">
        <f t="shared" si="7"/>
        <v>#NUM!</v>
      </c>
      <c r="X44" s="44" t="e">
        <f t="shared" si="7"/>
        <v>#NUM!</v>
      </c>
      <c r="Y44" s="66"/>
      <c r="Z44" s="53" t="e">
        <f>SQRT(X44/W44)</f>
        <v>#NUM!</v>
      </c>
      <c r="AA44" s="36"/>
      <c r="AB44" s="35"/>
      <c r="AC44" s="35"/>
      <c r="AD44" s="35"/>
    </row>
    <row r="45" spans="3:34" x14ac:dyDescent="0.25">
      <c r="C45" s="80"/>
      <c r="D45" s="62" t="s">
        <v>146</v>
      </c>
      <c r="E45" s="60" t="e">
        <f>SQRT(H60)</f>
        <v>#NUM!</v>
      </c>
      <c r="F45" s="60" t="e">
        <f>SQRT(H58*E45^2/CHIINV((100-$D$5)/100/2,H58))</f>
        <v>#NUM!</v>
      </c>
      <c r="G45" s="60" t="e">
        <f>SQRT(H58*E45^2/CHIINV(1-(100-$D$5)/100/2,H58))</f>
        <v>#NUM!</v>
      </c>
      <c r="H45" s="185"/>
      <c r="I45" s="61" t="e">
        <f>SQRT(G45/F45)</f>
        <v>#NUM!</v>
      </c>
      <c r="J45" s="13"/>
      <c r="K45" s="13"/>
      <c r="L45" s="13"/>
      <c r="S45" s="70"/>
      <c r="T45" s="66"/>
      <c r="U45" s="163" t="s">
        <v>147</v>
      </c>
      <c r="V45" s="44" t="e">
        <f t="shared" si="7"/>
        <v>#NUM!</v>
      </c>
      <c r="W45" s="44" t="e">
        <f t="shared" si="7"/>
        <v>#NUM!</v>
      </c>
      <c r="X45" s="44" t="e">
        <f t="shared" si="7"/>
        <v>#NUM!</v>
      </c>
      <c r="Y45" s="66"/>
      <c r="Z45" s="53" t="e">
        <f>SQRT(X45/W45)</f>
        <v>#NUM!</v>
      </c>
      <c r="AA45" s="14"/>
      <c r="AB45" s="35"/>
      <c r="AC45" s="35"/>
      <c r="AD45" s="35"/>
    </row>
    <row r="46" spans="3:34" x14ac:dyDescent="0.25">
      <c r="C46" s="81"/>
      <c r="D46" s="165" t="s">
        <v>148</v>
      </c>
      <c r="E46" s="186" t="e">
        <f>SQRT(H60+F60)</f>
        <v>#NUM!</v>
      </c>
      <c r="F46" s="187" t="s">
        <v>149</v>
      </c>
      <c r="G46" s="58"/>
      <c r="H46" s="164"/>
      <c r="I46" s="59"/>
      <c r="J46" s="13"/>
      <c r="K46" s="13"/>
      <c r="L46" s="13"/>
      <c r="S46" s="71"/>
      <c r="T46" s="45"/>
      <c r="U46" s="165" t="s">
        <v>150</v>
      </c>
      <c r="V46" s="166" t="e">
        <f t="shared" si="7"/>
        <v>#NUM!</v>
      </c>
      <c r="W46" s="187" t="s">
        <v>149</v>
      </c>
      <c r="X46" s="166"/>
      <c r="Y46" s="45"/>
      <c r="Z46" s="57"/>
      <c r="AA46" s="14"/>
      <c r="AB46" s="35"/>
      <c r="AC46" s="35"/>
      <c r="AD46" s="35"/>
    </row>
    <row r="47" spans="3:34" x14ac:dyDescent="0.25">
      <c r="C47" s="80"/>
      <c r="D47" s="62" t="s">
        <v>151</v>
      </c>
      <c r="E47" s="188">
        <f>(E64-1)/(E64+F57-1)</f>
        <v>19.434493395888268</v>
      </c>
      <c r="F47" s="188">
        <f>(F64-1)/(F64+F57-1)</f>
        <v>-2.116594719213897</v>
      </c>
      <c r="G47" s="188">
        <f>(G64-1)/(G64+F57-1)</f>
        <v>2.078311743469115</v>
      </c>
      <c r="H47" s="188">
        <f>(G47-F47)/2</f>
        <v>2.0974532313415057</v>
      </c>
      <c r="I47" s="61"/>
      <c r="J47" s="13"/>
      <c r="K47" s="13"/>
      <c r="L47" s="13"/>
      <c r="S47" s="70"/>
      <c r="T47" s="66"/>
      <c r="U47" s="163" t="s">
        <v>115</v>
      </c>
      <c r="V47" s="40" t="e">
        <f t="shared" ref="V47:X51" si="9">100*V41-100</f>
        <v>#NUM!</v>
      </c>
      <c r="W47" s="40" t="e">
        <f t="shared" si="9"/>
        <v>#NUM!</v>
      </c>
      <c r="X47" s="40" t="e">
        <f t="shared" si="9"/>
        <v>#NUM!</v>
      </c>
      <c r="Y47" s="171"/>
      <c r="Z47" s="53" t="e">
        <f>SQRT(X47/W47)</f>
        <v>#NUM!</v>
      </c>
    </row>
    <row r="48" spans="3:34" ht="13.8" thickBot="1" x14ac:dyDescent="0.3">
      <c r="C48" s="189"/>
      <c r="D48" s="172" t="s">
        <v>152</v>
      </c>
      <c r="E48" s="49">
        <f>E60/(E60+F60+H60)</f>
        <v>1.687238927736078</v>
      </c>
      <c r="F48" s="187" t="s">
        <v>149</v>
      </c>
      <c r="G48" s="77"/>
      <c r="H48" s="77"/>
      <c r="I48" s="190"/>
      <c r="J48" s="13"/>
      <c r="K48" s="13"/>
      <c r="L48" s="13"/>
      <c r="S48" s="70"/>
      <c r="T48" s="66"/>
      <c r="U48" s="163" t="s">
        <v>116</v>
      </c>
      <c r="V48" s="40" t="e">
        <f t="shared" si="9"/>
        <v>#NUM!</v>
      </c>
      <c r="W48" s="40" t="e">
        <f t="shared" si="9"/>
        <v>#NUM!</v>
      </c>
      <c r="X48" s="40" t="e">
        <f t="shared" si="9"/>
        <v>#NUM!</v>
      </c>
      <c r="Y48" s="40" t="e">
        <f>(X48-W48)/2</f>
        <v>#NUM!</v>
      </c>
      <c r="Z48" s="85"/>
    </row>
    <row r="49" spans="1:26" x14ac:dyDescent="0.25">
      <c r="C49" s="78"/>
      <c r="D49" s="54"/>
      <c r="E49" s="47" t="s">
        <v>59</v>
      </c>
      <c r="F49" s="48">
        <v>10</v>
      </c>
      <c r="G49" s="169" t="s">
        <v>60</v>
      </c>
      <c r="H49" s="191" t="s">
        <v>94</v>
      </c>
      <c r="I49" s="192"/>
      <c r="J49" s="13"/>
      <c r="K49" s="13"/>
      <c r="L49" s="13"/>
      <c r="S49" s="70"/>
      <c r="T49" s="66"/>
      <c r="U49" s="163" t="s">
        <v>117</v>
      </c>
      <c r="V49" s="40" t="e">
        <f t="shared" si="9"/>
        <v>#NUM!</v>
      </c>
      <c r="W49" s="40" t="e">
        <f t="shared" si="9"/>
        <v>#NUM!</v>
      </c>
      <c r="X49" s="40" t="e">
        <f t="shared" si="9"/>
        <v>#NUM!</v>
      </c>
      <c r="Y49" s="171"/>
      <c r="Z49" s="53" t="e">
        <f>SQRT(X49/W49)</f>
        <v>#NUM!</v>
      </c>
    </row>
    <row r="50" spans="1:26" x14ac:dyDescent="0.25">
      <c r="C50" s="84"/>
      <c r="D50" s="42"/>
      <c r="E50" s="41"/>
      <c r="F50" s="41" t="s">
        <v>57</v>
      </c>
      <c r="G50" s="41" t="s">
        <v>58</v>
      </c>
      <c r="H50" s="41" t="s">
        <v>74</v>
      </c>
      <c r="I50" s="170" t="s">
        <v>75</v>
      </c>
      <c r="J50" s="13"/>
      <c r="K50" s="13"/>
      <c r="L50" s="13"/>
      <c r="S50" s="70"/>
      <c r="T50" s="66"/>
      <c r="U50" s="163" t="s">
        <v>118</v>
      </c>
      <c r="V50" s="40" t="e">
        <f t="shared" si="9"/>
        <v>#NUM!</v>
      </c>
      <c r="W50" s="40" t="e">
        <f t="shared" si="9"/>
        <v>#NUM!</v>
      </c>
      <c r="X50" s="40" t="e">
        <f t="shared" si="9"/>
        <v>#NUM!</v>
      </c>
      <c r="Y50" s="40" t="e">
        <f>(X50-W50)/2</f>
        <v>#NUM!</v>
      </c>
      <c r="Z50" s="85"/>
    </row>
    <row r="51" spans="1:26" x14ac:dyDescent="0.25">
      <c r="C51" s="79"/>
      <c r="D51" s="43" t="s">
        <v>146</v>
      </c>
      <c r="E51" s="46" t="e">
        <f>E45/SQRT(F49)</f>
        <v>#NUM!</v>
      </c>
      <c r="F51" s="46" t="e">
        <f>F45/SQRT(F49)</f>
        <v>#NUM!</v>
      </c>
      <c r="G51" s="46" t="e">
        <f>G45/SQRT(F49)</f>
        <v>#NUM!</v>
      </c>
      <c r="H51" s="162"/>
      <c r="I51" s="56" t="e">
        <f>SQRT(G51/F51)</f>
        <v>#NUM!</v>
      </c>
      <c r="J51" s="13"/>
      <c r="K51" s="13"/>
      <c r="L51" s="13"/>
      <c r="S51" s="70"/>
      <c r="T51" s="66"/>
      <c r="U51" s="62" t="s">
        <v>153</v>
      </c>
      <c r="V51" s="60" t="e">
        <f t="shared" si="9"/>
        <v>#NUM!</v>
      </c>
      <c r="W51" s="60" t="e">
        <f t="shared" si="9"/>
        <v>#NUM!</v>
      </c>
      <c r="X51" s="60" t="e">
        <f t="shared" si="9"/>
        <v>#NUM!</v>
      </c>
      <c r="Y51" s="185"/>
      <c r="Z51" s="61" t="e">
        <f>SQRT(X51/W51)</f>
        <v>#NUM!</v>
      </c>
    </row>
    <row r="52" spans="1:26" x14ac:dyDescent="0.25">
      <c r="C52" s="81"/>
      <c r="D52" s="38" t="s">
        <v>154</v>
      </c>
      <c r="E52" s="186" t="e">
        <f>E46/SQRT(F49)</f>
        <v>#NUM!</v>
      </c>
      <c r="F52" s="187" t="s">
        <v>149</v>
      </c>
      <c r="G52" s="186"/>
      <c r="H52" s="193"/>
      <c r="I52" s="57"/>
      <c r="J52" s="13"/>
      <c r="K52" s="13"/>
      <c r="L52" s="13"/>
      <c r="S52" s="71"/>
      <c r="T52" s="45"/>
      <c r="U52" s="165" t="s">
        <v>155</v>
      </c>
      <c r="V52" s="58" t="e">
        <f>100*V46-100</f>
        <v>#NUM!</v>
      </c>
      <c r="W52" s="187" t="s">
        <v>149</v>
      </c>
      <c r="X52" s="58"/>
      <c r="Y52" s="164"/>
      <c r="Z52" s="59"/>
    </row>
    <row r="53" spans="1:26" x14ac:dyDescent="0.25">
      <c r="C53" s="80"/>
      <c r="D53" s="163" t="s">
        <v>151</v>
      </c>
      <c r="E53" s="44" t="str">
        <f>IF(E64&lt;1,"~0.0",(E64-1)/(E64-1+$F$57/$F$49))</f>
        <v>~0.0</v>
      </c>
      <c r="F53" s="44" t="str">
        <f>IF(F64&lt;1,"?",(F64-1)/(F64-1+$F$57/$W$55))</f>
        <v>?</v>
      </c>
      <c r="G53" s="44" t="str">
        <f>IF(E64&lt;1,"?",(G64-1)/(G64-1+$F$57/$W$55))</f>
        <v>?</v>
      </c>
      <c r="H53" s="44" t="str">
        <f>IF(F64&lt;1,"?",(G53-F53)/2)</f>
        <v>?</v>
      </c>
      <c r="I53" s="53"/>
      <c r="J53" s="13"/>
      <c r="K53" s="13"/>
      <c r="L53" s="13"/>
      <c r="S53" s="70"/>
      <c r="T53" s="66"/>
      <c r="U53" s="62" t="s">
        <v>151</v>
      </c>
      <c r="V53" s="188" t="e">
        <f>(V72-1)/(V72+W65-1)</f>
        <v>#NUM!</v>
      </c>
      <c r="W53" s="188" t="e">
        <f>(W72-1)/(W72+W65-1)</f>
        <v>#NUM!</v>
      </c>
      <c r="X53" s="188" t="e">
        <f>(X72-1)/(X72+W65-1)</f>
        <v>#NUM!</v>
      </c>
      <c r="Y53" s="188" t="e">
        <f>(X53-W53)/2</f>
        <v>#NUM!</v>
      </c>
      <c r="Z53" s="194"/>
    </row>
    <row r="54" spans="1:26" ht="13.8" thickBot="1" x14ac:dyDescent="0.3">
      <c r="C54" s="76"/>
      <c r="D54" s="195" t="s">
        <v>152</v>
      </c>
      <c r="E54" s="49">
        <f>E60/(E60+(F60+H60)/F49)</f>
        <v>1.0424610777713297</v>
      </c>
      <c r="F54" s="196" t="s">
        <v>149</v>
      </c>
      <c r="G54" s="77"/>
      <c r="H54" s="77"/>
      <c r="I54" s="55"/>
      <c r="J54" s="13"/>
      <c r="K54" s="13"/>
      <c r="L54" s="13"/>
      <c r="S54" s="76"/>
      <c r="T54" s="77"/>
      <c r="U54" s="172" t="s">
        <v>152</v>
      </c>
      <c r="V54" s="197" t="e">
        <f>V68/(V68+W68+Y68)</f>
        <v>#NUM!</v>
      </c>
      <c r="W54" s="187" t="s">
        <v>149</v>
      </c>
      <c r="X54" s="197"/>
      <c r="Y54" s="197"/>
      <c r="Z54" s="50"/>
    </row>
    <row r="55" spans="1:26" x14ac:dyDescent="0.25">
      <c r="E55" s="173" t="s">
        <v>47</v>
      </c>
      <c r="F55" s="173" t="s">
        <v>48</v>
      </c>
      <c r="I55" s="35"/>
      <c r="S55" s="68"/>
      <c r="T55" s="51"/>
      <c r="U55" s="54"/>
      <c r="V55" s="47" t="s">
        <v>59</v>
      </c>
      <c r="W55" s="48">
        <v>2</v>
      </c>
      <c r="X55" s="169" t="s">
        <v>60</v>
      </c>
      <c r="Y55" s="191" t="s">
        <v>94</v>
      </c>
      <c r="Z55" s="192"/>
    </row>
    <row r="56" spans="1:26" x14ac:dyDescent="0.25">
      <c r="E56" s="173" t="s">
        <v>49</v>
      </c>
      <c r="F56" s="173" t="s">
        <v>76</v>
      </c>
      <c r="G56" s="14" t="s">
        <v>28</v>
      </c>
      <c r="H56" s="14" t="s">
        <v>29</v>
      </c>
      <c r="I56" s="35"/>
      <c r="S56" s="71"/>
      <c r="T56" s="45"/>
      <c r="U56" s="45"/>
      <c r="V56" s="45"/>
      <c r="W56" s="45" t="s">
        <v>57</v>
      </c>
      <c r="X56" s="45" t="s">
        <v>58</v>
      </c>
      <c r="Y56" s="45" t="s">
        <v>74</v>
      </c>
      <c r="Z56" s="198" t="s">
        <v>75</v>
      </c>
    </row>
    <row r="57" spans="1:26" x14ac:dyDescent="0.25">
      <c r="D57" s="15" t="s">
        <v>0</v>
      </c>
      <c r="E57" s="14">
        <f>COUNT(P16:P35)</f>
        <v>20</v>
      </c>
      <c r="F57" s="14">
        <f>COUNT(E38:N38)</f>
        <v>10</v>
      </c>
      <c r="G57" s="14">
        <f>COUNT(E16:N35)</f>
        <v>94</v>
      </c>
      <c r="S57" s="70"/>
      <c r="T57" s="66"/>
      <c r="U57" s="163" t="s">
        <v>147</v>
      </c>
      <c r="V57" s="44" t="e">
        <f>EXP(V84/100)</f>
        <v>#NUM!</v>
      </c>
      <c r="W57" s="44" t="e">
        <f>EXP(W84/100)</f>
        <v>#NUM!</v>
      </c>
      <c r="X57" s="44" t="e">
        <f>EXP(X84/100)</f>
        <v>#NUM!</v>
      </c>
      <c r="Y57" s="66"/>
      <c r="Z57" s="56" t="e">
        <f>SQRT(X57/W57)</f>
        <v>#NUM!</v>
      </c>
    </row>
    <row r="58" spans="1:26" x14ac:dyDescent="0.25">
      <c r="D58" s="15" t="s">
        <v>30</v>
      </c>
      <c r="E58" s="14">
        <f>E57-1</f>
        <v>19</v>
      </c>
      <c r="F58" s="14">
        <f>F57-1</f>
        <v>9</v>
      </c>
      <c r="G58" s="14">
        <f>G57-1</f>
        <v>93</v>
      </c>
      <c r="H58" s="14">
        <f>E58*F58</f>
        <v>171</v>
      </c>
      <c r="I58" s="36"/>
      <c r="S58" s="71"/>
      <c r="T58" s="45"/>
      <c r="U58" s="165" t="s">
        <v>150</v>
      </c>
      <c r="V58" s="166" t="e">
        <f>EXP(V85/100)</f>
        <v>#NUM!</v>
      </c>
      <c r="W58" s="187" t="s">
        <v>149</v>
      </c>
      <c r="X58" s="166"/>
      <c r="Y58" s="45"/>
      <c r="Z58" s="57"/>
    </row>
    <row r="59" spans="1:26" x14ac:dyDescent="0.25">
      <c r="D59" s="15" t="s">
        <v>27</v>
      </c>
      <c r="E59" s="14">
        <f>P39^2*E58*F57</f>
        <v>2242415.3456581007</v>
      </c>
      <c r="F59" s="14">
        <f>Q38^2*F58*E57</f>
        <v>1158962.8776113314</v>
      </c>
      <c r="G59" s="14">
        <f>Q39^2*G58</f>
        <v>1286437.7073304392</v>
      </c>
      <c r="H59" s="14">
        <f>G59-E59-F59</f>
        <v>-2114940.5159389926</v>
      </c>
      <c r="I59" s="13"/>
      <c r="S59" s="70"/>
      <c r="T59" s="66"/>
      <c r="U59" s="39" t="s">
        <v>153</v>
      </c>
      <c r="V59" s="40" t="e">
        <f>100*V57-100</f>
        <v>#NUM!</v>
      </c>
      <c r="W59" s="40" t="e">
        <f>100*W57-100</f>
        <v>#NUM!</v>
      </c>
      <c r="X59" s="40" t="e">
        <f>100*X57-100</f>
        <v>#NUM!</v>
      </c>
      <c r="Y59" s="171"/>
      <c r="Z59" s="53" t="e">
        <f>SQRT(X59/W59)</f>
        <v>#NUM!</v>
      </c>
    </row>
    <row r="60" spans="1:26" x14ac:dyDescent="0.25">
      <c r="D60" s="175" t="s">
        <v>50</v>
      </c>
      <c r="E60" s="174">
        <f>P39^2-H60/F57</f>
        <v>13038.993349042046</v>
      </c>
      <c r="F60" s="174">
        <f>Q38^2-H60/E57</f>
        <v>7057.0863130275702</v>
      </c>
      <c r="G60" s="174"/>
      <c r="H60" s="174">
        <f>H59/H58</f>
        <v>-12368.073192625689</v>
      </c>
      <c r="I60" s="13"/>
      <c r="S60" s="71"/>
      <c r="T60" s="45"/>
      <c r="U60" s="38" t="s">
        <v>156</v>
      </c>
      <c r="V60" s="186" t="e">
        <f>100*V58-100</f>
        <v>#NUM!</v>
      </c>
      <c r="W60" s="187" t="s">
        <v>149</v>
      </c>
      <c r="X60" s="186"/>
      <c r="Y60" s="193"/>
      <c r="Z60" s="57"/>
    </row>
    <row r="61" spans="1:26" x14ac:dyDescent="0.25">
      <c r="D61" s="113" t="s">
        <v>51</v>
      </c>
      <c r="E61" s="14">
        <f>2*P39^4/(E57-1)+1/F57^2*2*H60^2/H58</f>
        <v>14680164.305013781</v>
      </c>
      <c r="F61" s="14">
        <f>2*Q38^4/(F57-1)+1/E57^2*2*H60^2/H58</f>
        <v>9217058.1871113908</v>
      </c>
      <c r="G61" s="30"/>
      <c r="H61" s="14">
        <f>2*H60^2/H58</f>
        <v>1789113.8537794878</v>
      </c>
      <c r="I61" s="13"/>
      <c r="S61" s="70"/>
      <c r="T61" s="66"/>
      <c r="U61" s="163" t="s">
        <v>151</v>
      </c>
      <c r="V61" s="44" t="e">
        <f>IF(V72&lt;1,"~0.0",(V72-1)/(V72-1+$W$65/$W$55))</f>
        <v>#NUM!</v>
      </c>
      <c r="W61" s="44" t="e">
        <f>IF(W72&lt;1,"?",(W72-1)/(W72-1+$W$65/$W$55))</f>
        <v>#NUM!</v>
      </c>
      <c r="X61" s="44" t="e">
        <f>IF(V72&lt;1,"?",(X72-1)/(X72-1+$W$65/$W$55))</f>
        <v>#NUM!</v>
      </c>
      <c r="Y61" s="44" t="e">
        <f>IF(W72&lt;1,"?",(X61-W61)/2)</f>
        <v>#NUM!</v>
      </c>
      <c r="Z61" s="53"/>
    </row>
    <row r="62" spans="1:26" ht="13.8" thickBot="1" x14ac:dyDescent="0.3">
      <c r="D62" s="175" t="s">
        <v>52</v>
      </c>
      <c r="E62" s="174">
        <f>SQRT(E61)</f>
        <v>3831.4702537033718</v>
      </c>
      <c r="F62" s="174">
        <f>SQRT(F61)</f>
        <v>3035.9608342518832</v>
      </c>
      <c r="G62" s="174"/>
      <c r="H62" s="174">
        <f>SQRT(H61)</f>
        <v>1337.5776066380179</v>
      </c>
      <c r="I62" s="13"/>
      <c r="S62" s="76"/>
      <c r="T62" s="77"/>
      <c r="U62" s="172" t="s">
        <v>152</v>
      </c>
      <c r="V62" s="49" t="e">
        <f>V68/(V68+(W68+Y68)/W55)</f>
        <v>#NUM!</v>
      </c>
      <c r="W62" s="196" t="s">
        <v>149</v>
      </c>
      <c r="X62" s="77"/>
      <c r="Y62" s="77"/>
      <c r="Z62" s="55"/>
    </row>
    <row r="63" spans="1:26" x14ac:dyDescent="0.25">
      <c r="D63" s="14"/>
      <c r="F63" s="14" t="s">
        <v>57</v>
      </c>
      <c r="G63" s="14" t="s">
        <v>58</v>
      </c>
      <c r="I63" s="13"/>
      <c r="V63" s="173" t="s">
        <v>47</v>
      </c>
      <c r="W63" s="173" t="s">
        <v>48</v>
      </c>
      <c r="X63" s="35"/>
      <c r="Y63" s="35"/>
      <c r="Z63" s="35"/>
    </row>
    <row r="64" spans="1:26" x14ac:dyDescent="0.25">
      <c r="A64" s="14"/>
      <c r="B64" s="14"/>
      <c r="D64" s="15" t="s">
        <v>66</v>
      </c>
      <c r="E64" s="35">
        <f>E59/E58/(H59/H58)</f>
        <v>-9.5424613405557679</v>
      </c>
      <c r="F64" s="176">
        <f>E64/FINV((1-$D$5/100)/2,E58,H58)</f>
        <v>-5.7913697798595019</v>
      </c>
      <c r="G64" s="176">
        <f>E64*FINV((1-$D$5/100)/2,H58,E58)</f>
        <v>-18.27375599919581</v>
      </c>
      <c r="I64" s="13"/>
      <c r="U64" s="13"/>
      <c r="V64" s="173" t="s">
        <v>49</v>
      </c>
      <c r="W64" s="173" t="s">
        <v>76</v>
      </c>
      <c r="X64" s="14" t="s">
        <v>28</v>
      </c>
      <c r="Y64" s="14" t="s">
        <v>29</v>
      </c>
      <c r="Z64" s="35"/>
    </row>
    <row r="65" spans="1:26" x14ac:dyDescent="0.25">
      <c r="A65" s="14"/>
      <c r="B65" s="14"/>
      <c r="D65" s="113" t="s">
        <v>71</v>
      </c>
      <c r="E65" s="30">
        <f>E60+H60</f>
        <v>670.92015641635771</v>
      </c>
      <c r="F65" s="30">
        <f>E58*E65/CHIINV((100-$D$5)/100/2,E58)</f>
        <v>422.89287796164336</v>
      </c>
      <c r="G65" s="30">
        <f>E58*E65/CHIINV(1-(100-$D$5)/100/2,E58)</f>
        <v>1260.0045973498411</v>
      </c>
      <c r="I65" s="13"/>
      <c r="U65" s="15" t="s">
        <v>0</v>
      </c>
      <c r="V65" s="14">
        <f>COUNT(AG16:AG35)</f>
        <v>1</v>
      </c>
      <c r="W65" s="14">
        <f>COUNT(V38:AE38)</f>
        <v>2</v>
      </c>
      <c r="X65" s="14">
        <f>COUNT(V16:AE35)</f>
        <v>94</v>
      </c>
      <c r="Z65" s="35"/>
    </row>
    <row r="66" spans="1:26" x14ac:dyDescent="0.25">
      <c r="A66" s="14"/>
      <c r="B66" s="14"/>
      <c r="D66" s="113" t="s">
        <v>62</v>
      </c>
      <c r="E66" s="30">
        <f>E60</f>
        <v>13038.993349042046</v>
      </c>
      <c r="F66" s="30">
        <f>E60+NORMSINV((100-$D$5)/100/2)*E62</f>
        <v>6736.7856056813762</v>
      </c>
      <c r="G66" s="30">
        <f>E60-NORMSINV((100-$D$5)/100/2)*E62</f>
        <v>19341.201092402716</v>
      </c>
      <c r="I66" s="13"/>
      <c r="U66" s="15" t="s">
        <v>30</v>
      </c>
      <c r="V66" s="14">
        <f>V65-1</f>
        <v>0</v>
      </c>
      <c r="W66" s="14">
        <f>W65-1</f>
        <v>1</v>
      </c>
      <c r="X66" s="14">
        <f>X65-1</f>
        <v>93</v>
      </c>
      <c r="Y66" s="14">
        <f>V66*W66</f>
        <v>0</v>
      </c>
      <c r="Z66" s="36"/>
    </row>
    <row r="67" spans="1:26" x14ac:dyDescent="0.25">
      <c r="A67" s="14"/>
      <c r="B67" s="14"/>
      <c r="D67" s="113" t="s">
        <v>72</v>
      </c>
      <c r="E67" s="30">
        <f>F60+H60/E57</f>
        <v>6438.6826533962858</v>
      </c>
      <c r="F67" s="30">
        <f>F58*E67/CHIINV((100-$D$5)/100/2,F58)</f>
        <v>3425.0381574322405</v>
      </c>
      <c r="G67" s="30">
        <f>F58*E67/CHIINV(1-(100-$D$5)/100/2,F58)</f>
        <v>17427.421749428471</v>
      </c>
      <c r="I67" s="13"/>
      <c r="U67" s="15" t="s">
        <v>27</v>
      </c>
      <c r="V67" s="14" t="e">
        <f>AG39^2*V66*W65</f>
        <v>#NUM!</v>
      </c>
      <c r="W67" s="14" t="e">
        <f>AH38^2*W66*V65</f>
        <v>#NUM!</v>
      </c>
      <c r="X67" s="14" t="e">
        <f>AH39^2*X66</f>
        <v>#NUM!</v>
      </c>
      <c r="Y67" s="14" t="e">
        <f>X67-V67-W67</f>
        <v>#NUM!</v>
      </c>
      <c r="Z67" s="36"/>
    </row>
    <row r="68" spans="1:26" x14ac:dyDescent="0.25">
      <c r="A68" s="14"/>
      <c r="B68" s="14"/>
      <c r="D68" s="113" t="s">
        <v>68</v>
      </c>
      <c r="E68" s="30">
        <f>F60</f>
        <v>7057.0863130275702</v>
      </c>
      <c r="F68" s="30">
        <f>F60+NORMSINV((100-$D$5)/100/2)*F62</f>
        <v>2063.3751235257414</v>
      </c>
      <c r="G68" s="30">
        <f>F60-NORMSINV((100-$D$5)/100/2)*F62</f>
        <v>12050.7975025294</v>
      </c>
      <c r="I68" s="13"/>
      <c r="U68" s="113" t="s">
        <v>50</v>
      </c>
      <c r="V68" s="30" t="e">
        <f>AG39^2-Y68/W65</f>
        <v>#NUM!</v>
      </c>
      <c r="W68" s="30" t="e">
        <f>AH38^2-Y68/V65</f>
        <v>#NUM!</v>
      </c>
      <c r="X68" s="30"/>
      <c r="Y68" s="30" t="e">
        <f>Y67/Y66</f>
        <v>#NUM!</v>
      </c>
      <c r="Z68" s="14"/>
    </row>
    <row r="69" spans="1:26" x14ac:dyDescent="0.25">
      <c r="A69" s="14"/>
      <c r="B69" s="14"/>
      <c r="C69" s="14"/>
      <c r="D69" s="14"/>
      <c r="U69" s="113" t="s">
        <v>51</v>
      </c>
      <c r="V69" s="30" t="e">
        <f>2*AG39^4/(V65-1)+1/W65^2*2*Y68^2/Y66</f>
        <v>#NUM!</v>
      </c>
      <c r="W69" s="30" t="e">
        <f>2*AH38^4/(W65-1)+1/V65^2*2*Y68^2/Y66</f>
        <v>#NUM!</v>
      </c>
      <c r="X69" s="30"/>
      <c r="Y69" s="30" t="e">
        <f>2*Y68^2/Y66</f>
        <v>#NUM!</v>
      </c>
      <c r="Z69" s="14"/>
    </row>
    <row r="70" spans="1:26" x14ac:dyDescent="0.25">
      <c r="A70" s="14"/>
      <c r="B70" s="14"/>
      <c r="C70" s="14"/>
      <c r="D70" s="14"/>
      <c r="U70" s="175" t="s">
        <v>52</v>
      </c>
      <c r="V70" s="174" t="e">
        <f>SQRT(V69)</f>
        <v>#NUM!</v>
      </c>
      <c r="W70" s="174" t="e">
        <f>SQRT(W69)</f>
        <v>#NUM!</v>
      </c>
      <c r="X70" s="174"/>
      <c r="Y70" s="174" t="e">
        <f>SQRT(Y69)</f>
        <v>#NUM!</v>
      </c>
    </row>
    <row r="71" spans="1:26" x14ac:dyDescent="0.25">
      <c r="C71" s="14"/>
      <c r="D71" s="14"/>
      <c r="W71" s="14" t="s">
        <v>57</v>
      </c>
      <c r="X71" s="14" t="s">
        <v>58</v>
      </c>
    </row>
    <row r="72" spans="1:26" x14ac:dyDescent="0.25">
      <c r="A72" s="14"/>
      <c r="B72" s="14"/>
      <c r="C72" s="14"/>
      <c r="D72" s="14"/>
      <c r="U72" s="15" t="s">
        <v>66</v>
      </c>
      <c r="V72" s="35" t="e">
        <f>V67/V66/(Y67/Y66)</f>
        <v>#NUM!</v>
      </c>
      <c r="W72" s="176" t="e">
        <f>V72/FINV((1-$D$5/100)/2,V66,Y66)</f>
        <v>#NUM!</v>
      </c>
      <c r="X72" s="176" t="e">
        <f>V72*FINV((1-$D$5/100)/2,Y66,V66)</f>
        <v>#NUM!</v>
      </c>
    </row>
    <row r="73" spans="1:26" x14ac:dyDescent="0.25">
      <c r="A73" s="14"/>
      <c r="B73" s="14"/>
      <c r="C73" s="14"/>
      <c r="D73" s="14"/>
      <c r="U73" s="113" t="s">
        <v>64</v>
      </c>
      <c r="V73" s="35" t="e">
        <f>V68+Y68</f>
        <v>#NUM!</v>
      </c>
      <c r="W73" s="30" t="e">
        <f>V66*V73/CHIINV((100-$D$5)/100/2,V66)</f>
        <v>#NUM!</v>
      </c>
      <c r="X73" s="14" t="e">
        <f>V66*V73/CHIINV(1-(100-$D$5)/100/2,V66)</f>
        <v>#NUM!</v>
      </c>
    </row>
    <row r="74" spans="1:26" x14ac:dyDescent="0.25">
      <c r="C74" s="14"/>
      <c r="D74" s="14"/>
      <c r="U74" s="113" t="s">
        <v>62</v>
      </c>
      <c r="V74" s="30" t="e">
        <f>V68</f>
        <v>#NUM!</v>
      </c>
      <c r="W74" s="30" t="e">
        <f>V68+NORMSINV((100-$D$5)/100/2)*V70</f>
        <v>#NUM!</v>
      </c>
      <c r="X74" s="30" t="e">
        <f>V68-NORMSINV((100-$D$5)/100/2)*V70</f>
        <v>#NUM!</v>
      </c>
    </row>
    <row r="75" spans="1:26" x14ac:dyDescent="0.25">
      <c r="U75" s="113" t="s">
        <v>67</v>
      </c>
      <c r="V75" s="30" t="e">
        <f>W68+Y68/V65</f>
        <v>#NUM!</v>
      </c>
      <c r="W75" s="30" t="e">
        <f>W66*V75/CHIINV((100-$D$5)/100/2,W66)</f>
        <v>#NUM!</v>
      </c>
      <c r="X75" s="30" t="e">
        <f>W66*V75/CHIINV(1-(100-$D$5)/100/2,W66)</f>
        <v>#NUM!</v>
      </c>
    </row>
    <row r="76" spans="1:26" x14ac:dyDescent="0.25">
      <c r="C76" s="14"/>
      <c r="D76" s="14"/>
      <c r="U76" s="113" t="s">
        <v>68</v>
      </c>
      <c r="V76" s="35" t="e">
        <f>W68</f>
        <v>#NUM!</v>
      </c>
      <c r="W76" s="35" t="e">
        <f>W68+NORMSINV((100-$D$5)/100/2)*W70</f>
        <v>#NUM!</v>
      </c>
      <c r="X76" s="35" t="e">
        <f>W68-NORMSINV((100-$D$5)/100/2)*W70</f>
        <v>#NUM!</v>
      </c>
    </row>
    <row r="77" spans="1:26" x14ac:dyDescent="0.25">
      <c r="C77" s="14"/>
      <c r="D77" s="14"/>
      <c r="U77" s="113"/>
      <c r="V77" s="35"/>
      <c r="W77" s="14" t="s">
        <v>57</v>
      </c>
      <c r="X77" s="14" t="s">
        <v>58</v>
      </c>
    </row>
    <row r="78" spans="1:26" x14ac:dyDescent="0.25">
      <c r="D78" s="14"/>
      <c r="U78" s="113" t="s">
        <v>65</v>
      </c>
      <c r="V78" s="35" t="e">
        <f>SQRT(V73)</f>
        <v>#NUM!</v>
      </c>
      <c r="W78" s="35" t="e">
        <f>SQRT(W73)</f>
        <v>#NUM!</v>
      </c>
      <c r="X78" s="35" t="e">
        <f>SQRT(X73)</f>
        <v>#NUM!</v>
      </c>
      <c r="Y78" s="35"/>
    </row>
    <row r="79" spans="1:26" x14ac:dyDescent="0.25">
      <c r="U79" s="113" t="s">
        <v>63</v>
      </c>
      <c r="V79" s="176" t="e">
        <f>IF(ISERROR(SQRT(V74)),-SQRT(-V74),SQRT(V74))</f>
        <v>#NUM!</v>
      </c>
      <c r="W79" s="176" t="e">
        <f t="shared" ref="W79:X81" si="10">IF(ISERROR(SQRT(W74)),-SQRT(-W74),SQRT(W74))</f>
        <v>#NUM!</v>
      </c>
      <c r="X79" s="176" t="e">
        <f t="shared" si="10"/>
        <v>#NUM!</v>
      </c>
    </row>
    <row r="80" spans="1:26" x14ac:dyDescent="0.25">
      <c r="U80" s="113" t="s">
        <v>69</v>
      </c>
      <c r="V80" s="176" t="e">
        <f>IF(ISERROR(SQRT(V75)),-SQRT(-V75),SQRT(V75))</f>
        <v>#NUM!</v>
      </c>
      <c r="W80" s="176" t="e">
        <f>IF(ISERROR(SQRT(W75)),-SQRT(-W75),SQRT(W75))</f>
        <v>#NUM!</v>
      </c>
      <c r="X80" s="176" t="e">
        <f>IF(ISERROR(SQRT(X75)),-SQRT(-X75),SQRT(X75))</f>
        <v>#NUM!</v>
      </c>
    </row>
    <row r="81" spans="1:36" x14ac:dyDescent="0.25">
      <c r="U81" s="113" t="s">
        <v>70</v>
      </c>
      <c r="V81" s="176" t="e">
        <f>IF(ISERROR(SQRT(V76)),-SQRT(-V76),SQRT(V76))</f>
        <v>#NUM!</v>
      </c>
      <c r="W81" s="176" t="e">
        <f t="shared" si="10"/>
        <v>#NUM!</v>
      </c>
      <c r="X81" s="176" t="e">
        <f t="shared" si="10"/>
        <v>#NUM!</v>
      </c>
    </row>
    <row r="82" spans="1:36" x14ac:dyDescent="0.25">
      <c r="U82" s="15" t="s">
        <v>157</v>
      </c>
      <c r="V82" s="35" t="e">
        <f>SQRT(Y68)</f>
        <v>#NUM!</v>
      </c>
      <c r="W82" s="35" t="e">
        <f>SQRT(Y66*V82^2/CHIINV((100-$D$5)/100/2,Y66))</f>
        <v>#NUM!</v>
      </c>
      <c r="X82" s="35" t="e">
        <f>SQRT(Y66*V82^2/CHIINV(1-(100-$D$5)/100/2,Y66))</f>
        <v>#NUM!</v>
      </c>
    </row>
    <row r="83" spans="1:36" x14ac:dyDescent="0.25">
      <c r="U83" s="15" t="s">
        <v>158</v>
      </c>
      <c r="V83" s="35" t="e">
        <f>SQRT(W68+Y68)</f>
        <v>#NUM!</v>
      </c>
    </row>
    <row r="84" spans="1:36" x14ac:dyDescent="0.25">
      <c r="U84" s="15" t="str">
        <f>"Error for mean of "&amp;W55&amp;" trials same raters"</f>
        <v>Error for mean of 2 trials same raters</v>
      </c>
      <c r="V84" s="35" t="e">
        <f>V82/SQRT(W55)</f>
        <v>#NUM!</v>
      </c>
      <c r="W84" s="35" t="e">
        <f>W82/SQRT(W55)</f>
        <v>#NUM!</v>
      </c>
      <c r="X84" s="35" t="e">
        <f>X82/SQRT(W55)</f>
        <v>#NUM!</v>
      </c>
    </row>
    <row r="85" spans="1:36" s="14" customFormat="1" x14ac:dyDescent="0.25">
      <c r="A85" s="13"/>
      <c r="B85" s="13"/>
      <c r="C85" s="13"/>
      <c r="D85" s="13"/>
      <c r="U85" s="15" t="str">
        <f>"Error for mean of "&amp;W55&amp;" trials different raters"</f>
        <v>Error for mean of 2 trials different raters</v>
      </c>
      <c r="V85" s="35" t="e">
        <f>V83/SQRT(W55)</f>
        <v>#NUM!</v>
      </c>
      <c r="Z85" s="13"/>
      <c r="AA85" s="13"/>
      <c r="AB85" s="13"/>
      <c r="AC85" s="13"/>
      <c r="AD85" s="13"/>
      <c r="AE85" s="13"/>
      <c r="AF85" s="13"/>
      <c r="AG85" s="13"/>
      <c r="AH85" s="13"/>
      <c r="AI85" s="13"/>
      <c r="AJ85" s="13"/>
    </row>
  </sheetData>
  <mergeCells count="2">
    <mergeCell ref="H49:I49"/>
    <mergeCell ref="Y55:Z55"/>
  </mergeCells>
  <pageMargins left="0.75" right="0.75" top="1" bottom="1" header="0.5" footer="0.5"/>
  <pageSetup paperSize="9" orientation="portrait" horizontalDpi="1200" verticalDpi="120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workbookViewId="0"/>
  </sheetViews>
  <sheetFormatPr defaultRowHeight="13.2" x14ac:dyDescent="0.25"/>
  <sheetData>
    <row r="1" spans="1:11" x14ac:dyDescent="0.25">
      <c r="A1" s="108" t="s">
        <v>128</v>
      </c>
      <c r="B1" s="92" t="s">
        <v>35</v>
      </c>
      <c r="C1" s="92" t="s">
        <v>36</v>
      </c>
      <c r="D1" s="92" t="s">
        <v>37</v>
      </c>
      <c r="E1" s="92" t="s">
        <v>38</v>
      </c>
      <c r="F1" s="92" t="s">
        <v>39</v>
      </c>
      <c r="G1" s="92" t="s">
        <v>40</v>
      </c>
      <c r="H1" s="92" t="s">
        <v>41</v>
      </c>
      <c r="I1" s="92" t="s">
        <v>42</v>
      </c>
      <c r="J1" s="92" t="s">
        <v>43</v>
      </c>
      <c r="K1" s="92" t="s">
        <v>44</v>
      </c>
    </row>
    <row r="2" spans="1:11" x14ac:dyDescent="0.25">
      <c r="A2" s="105" t="s">
        <v>4</v>
      </c>
      <c r="B2" s="96">
        <v>475.32667427149573</v>
      </c>
      <c r="C2" s="97">
        <v>498.96096372119013</v>
      </c>
      <c r="D2" s="97"/>
      <c r="E2" s="97"/>
      <c r="F2" s="97"/>
      <c r="G2" s="97"/>
      <c r="H2" s="97"/>
      <c r="I2" s="97"/>
      <c r="J2" s="97"/>
      <c r="K2" s="98"/>
    </row>
    <row r="3" spans="1:11" x14ac:dyDescent="0.25">
      <c r="A3" s="105" t="s">
        <v>5</v>
      </c>
      <c r="B3" s="99">
        <v>651.80718660875664</v>
      </c>
      <c r="C3" s="100">
        <v>589.34576302694768</v>
      </c>
      <c r="D3" s="100"/>
      <c r="E3" s="100"/>
      <c r="F3" s="100"/>
      <c r="G3" s="100"/>
      <c r="H3" s="100"/>
      <c r="I3" s="100"/>
      <c r="J3" s="100"/>
      <c r="K3" s="101"/>
    </row>
    <row r="4" spans="1:11" x14ac:dyDescent="0.25">
      <c r="A4" s="105" t="s">
        <v>6</v>
      </c>
      <c r="B4" s="99">
        <v>320.64043789170898</v>
      </c>
      <c r="C4" s="100">
        <v>388.9994354818898</v>
      </c>
      <c r="D4" s="100"/>
      <c r="E4" s="100"/>
      <c r="F4" s="100"/>
      <c r="G4" s="100"/>
      <c r="H4" s="100"/>
      <c r="I4" s="100"/>
      <c r="J4" s="100"/>
      <c r="K4" s="101"/>
    </row>
    <row r="5" spans="1:11" x14ac:dyDescent="0.25">
      <c r="A5" s="105" t="s">
        <v>7</v>
      </c>
      <c r="B5" s="99">
        <v>385.69722727134308</v>
      </c>
      <c r="C5" s="100">
        <v>356.71910412559561</v>
      </c>
      <c r="D5" s="100"/>
      <c r="E5" s="100"/>
      <c r="F5" s="100"/>
      <c r="G5" s="100"/>
      <c r="H5" s="100"/>
      <c r="I5" s="100"/>
      <c r="J5" s="100"/>
      <c r="K5" s="101"/>
    </row>
    <row r="6" spans="1:11" x14ac:dyDescent="0.25">
      <c r="A6" s="105" t="s">
        <v>8</v>
      </c>
      <c r="B6" s="99">
        <v>485.99541344560203</v>
      </c>
      <c r="C6" s="100">
        <v>511.85887279444057</v>
      </c>
      <c r="D6" s="100"/>
      <c r="E6" s="100"/>
      <c r="F6" s="100"/>
      <c r="G6" s="100"/>
      <c r="H6" s="100"/>
      <c r="I6" s="100"/>
      <c r="J6" s="100"/>
      <c r="K6" s="101"/>
    </row>
    <row r="7" spans="1:11" x14ac:dyDescent="0.25">
      <c r="A7" s="105" t="s">
        <v>9</v>
      </c>
      <c r="B7" s="99">
        <v>512.58382627839433</v>
      </c>
      <c r="C7" s="100">
        <v>549.99042530787949</v>
      </c>
      <c r="D7" s="100"/>
      <c r="E7" s="100"/>
      <c r="F7" s="100"/>
      <c r="G7" s="100"/>
      <c r="H7" s="100"/>
      <c r="I7" s="100"/>
      <c r="J7" s="100"/>
      <c r="K7" s="101"/>
    </row>
    <row r="8" spans="1:11" x14ac:dyDescent="0.25">
      <c r="A8" s="105" t="s">
        <v>10</v>
      </c>
      <c r="B8" s="99">
        <v>382.82949687036336</v>
      </c>
      <c r="C8" s="100">
        <v>462.19491994197648</v>
      </c>
      <c r="D8" s="100">
        <v>439.00546111357272</v>
      </c>
      <c r="E8" s="100">
        <v>481.68581731986257</v>
      </c>
      <c r="F8" s="100">
        <v>640.14876215065715</v>
      </c>
      <c r="G8" s="100"/>
      <c r="H8" s="100"/>
      <c r="I8" s="100"/>
      <c r="J8" s="100"/>
      <c r="K8" s="101"/>
    </row>
    <row r="9" spans="1:11" x14ac:dyDescent="0.25">
      <c r="A9" s="105" t="s">
        <v>11</v>
      </c>
      <c r="B9" s="99">
        <v>557.19808171051068</v>
      </c>
      <c r="C9" s="100">
        <v>470.53667906325109</v>
      </c>
      <c r="D9" s="100">
        <v>401.26481544339458</v>
      </c>
      <c r="E9" s="100">
        <v>456.02768656272963</v>
      </c>
      <c r="F9" s="100">
        <v>465.30671418037213</v>
      </c>
      <c r="G9" s="100"/>
      <c r="H9" s="100"/>
      <c r="I9" s="100"/>
      <c r="J9" s="100"/>
      <c r="K9" s="101"/>
    </row>
    <row r="10" spans="1:11" x14ac:dyDescent="0.25">
      <c r="A10" s="105" t="s">
        <v>12</v>
      </c>
      <c r="B10" s="99">
        <v>397.8174013059176</v>
      </c>
      <c r="C10" s="100">
        <v>374.1521169784686</v>
      </c>
      <c r="D10" s="100">
        <v>305.21957765792075</v>
      </c>
      <c r="E10" s="100">
        <v>397.7294356931904</v>
      </c>
      <c r="F10" s="100">
        <v>335.30808608831637</v>
      </c>
      <c r="G10" s="100"/>
      <c r="H10" s="100"/>
      <c r="I10" s="100"/>
      <c r="J10" s="100"/>
      <c r="K10" s="101"/>
    </row>
    <row r="11" spans="1:11" x14ac:dyDescent="0.25">
      <c r="A11" s="105" t="s">
        <v>13</v>
      </c>
      <c r="B11" s="99">
        <v>819.70211089506711</v>
      </c>
      <c r="C11" s="100">
        <v>696.59997055858105</v>
      </c>
      <c r="D11" s="100">
        <v>636.84102388508654</v>
      </c>
      <c r="E11" s="100">
        <v>738.02815088472062</v>
      </c>
      <c r="F11" s="100">
        <v>758.22047139134395</v>
      </c>
      <c r="G11" s="100"/>
      <c r="H11" s="100"/>
      <c r="I11" s="100"/>
      <c r="J11" s="100"/>
      <c r="K11" s="101"/>
    </row>
    <row r="12" spans="1:11" x14ac:dyDescent="0.25">
      <c r="A12" s="105" t="s">
        <v>14</v>
      </c>
      <c r="B12" s="99">
        <v>433.57928943384536</v>
      </c>
      <c r="C12" s="100">
        <v>438.49087670819864</v>
      </c>
      <c r="D12" s="100">
        <v>336.87598329006323</v>
      </c>
      <c r="E12" s="100">
        <v>418.24559268320269</v>
      </c>
      <c r="F12" s="100">
        <v>438.65041357454646</v>
      </c>
      <c r="G12" s="100"/>
      <c r="H12" s="100"/>
      <c r="I12" s="100"/>
      <c r="J12" s="100"/>
      <c r="K12" s="101"/>
    </row>
    <row r="13" spans="1:11" x14ac:dyDescent="0.25">
      <c r="A13" s="105" t="s">
        <v>15</v>
      </c>
      <c r="B13" s="99">
        <v>371.32223850460889</v>
      </c>
      <c r="C13" s="100">
        <v>344.21922254034251</v>
      </c>
      <c r="D13" s="100">
        <v>360.70406139588107</v>
      </c>
      <c r="E13" s="100">
        <v>363.87887008461479</v>
      </c>
      <c r="F13" s="100">
        <v>377.10249974704601</v>
      </c>
      <c r="G13" s="100"/>
      <c r="H13" s="100"/>
      <c r="I13" s="100"/>
      <c r="J13" s="100"/>
      <c r="K13" s="101"/>
    </row>
    <row r="14" spans="1:11" x14ac:dyDescent="0.25">
      <c r="A14" s="105" t="s">
        <v>16</v>
      </c>
      <c r="B14" s="99">
        <v>538.52150430516872</v>
      </c>
      <c r="C14" s="100">
        <v>511.39108401823421</v>
      </c>
      <c r="D14" s="100">
        <v>431.69228656815437</v>
      </c>
      <c r="E14" s="100">
        <v>393.06171903373519</v>
      </c>
      <c r="F14" s="100">
        <v>399.40846170893167</v>
      </c>
      <c r="G14" s="100">
        <v>434.96320648046452</v>
      </c>
      <c r="H14" s="100"/>
      <c r="I14" s="100"/>
      <c r="J14" s="100"/>
      <c r="K14" s="101"/>
    </row>
    <row r="15" spans="1:11" x14ac:dyDescent="0.25">
      <c r="A15" s="105" t="s">
        <v>17</v>
      </c>
      <c r="B15" s="99">
        <v>413.1992047488161</v>
      </c>
      <c r="C15" s="100">
        <v>486.78150971415977</v>
      </c>
      <c r="D15" s="100">
        <v>433.98754218539904</v>
      </c>
      <c r="E15" s="100">
        <v>444.94469014311164</v>
      </c>
      <c r="F15" s="100">
        <v>385.39716794374999</v>
      </c>
      <c r="G15" s="100">
        <v>408.78592671566179</v>
      </c>
      <c r="H15" s="100"/>
      <c r="I15" s="100"/>
      <c r="J15" s="100"/>
      <c r="K15" s="101"/>
    </row>
    <row r="16" spans="1:11" x14ac:dyDescent="0.25">
      <c r="A16" s="105" t="s">
        <v>18</v>
      </c>
      <c r="B16" s="99">
        <v>556.95340413485917</v>
      </c>
      <c r="C16" s="100">
        <v>513.63080360087929</v>
      </c>
      <c r="D16" s="100">
        <v>541.56208400952914</v>
      </c>
      <c r="E16" s="100">
        <v>633.49136571557835</v>
      </c>
      <c r="F16" s="100">
        <v>626.15003979730523</v>
      </c>
      <c r="G16" s="100">
        <v>531.59913621465432</v>
      </c>
      <c r="H16" s="100"/>
      <c r="I16" s="100"/>
      <c r="J16" s="100"/>
      <c r="K16" s="101"/>
    </row>
    <row r="17" spans="1:11" x14ac:dyDescent="0.25">
      <c r="A17" s="105" t="s">
        <v>19</v>
      </c>
      <c r="B17" s="99">
        <v>316.89839004473288</v>
      </c>
      <c r="C17" s="100">
        <v>279.93388890001791</v>
      </c>
      <c r="D17" s="100">
        <v>291.43907001698881</v>
      </c>
      <c r="E17" s="100">
        <v>292.08938694681126</v>
      </c>
      <c r="F17" s="100">
        <v>298.55637470018604</v>
      </c>
      <c r="G17" s="100">
        <v>258.44743806062189</v>
      </c>
      <c r="H17" s="100"/>
      <c r="I17" s="100"/>
      <c r="J17" s="100"/>
      <c r="K17" s="101"/>
    </row>
    <row r="18" spans="1:11" x14ac:dyDescent="0.25">
      <c r="A18" s="105" t="s">
        <v>20</v>
      </c>
      <c r="B18" s="99">
        <v>439.27428960093374</v>
      </c>
      <c r="C18" s="100">
        <v>399.83619734658271</v>
      </c>
      <c r="D18" s="100">
        <v>376.18986011140521</v>
      </c>
      <c r="E18" s="100">
        <v>465.38771664652137</v>
      </c>
      <c r="F18" s="100">
        <v>374.99979796285737</v>
      </c>
      <c r="G18" s="100">
        <v>371.22254616958759</v>
      </c>
      <c r="H18" s="100"/>
      <c r="I18" s="100"/>
      <c r="J18" s="100"/>
      <c r="K18" s="101"/>
    </row>
    <row r="19" spans="1:11" x14ac:dyDescent="0.25">
      <c r="A19" s="105" t="s">
        <v>22</v>
      </c>
      <c r="B19" s="99">
        <v>423.0528200283083</v>
      </c>
      <c r="C19" s="100">
        <v>339.76469727793346</v>
      </c>
      <c r="D19" s="100">
        <v>405.52800826292861</v>
      </c>
      <c r="E19" s="100">
        <v>371.98636681660139</v>
      </c>
      <c r="F19" s="100">
        <v>402.53407302201936</v>
      </c>
      <c r="G19" s="100">
        <v>465.91481263744009</v>
      </c>
      <c r="H19" s="100"/>
      <c r="I19" s="100"/>
      <c r="J19" s="100"/>
      <c r="K19" s="101"/>
    </row>
    <row r="20" spans="1:11" x14ac:dyDescent="0.25">
      <c r="A20" s="105" t="s">
        <v>21</v>
      </c>
      <c r="B20" s="99">
        <v>521.77313499707179</v>
      </c>
      <c r="C20" s="100">
        <v>446.27946500977635</v>
      </c>
      <c r="D20" s="100">
        <v>559.38506721852252</v>
      </c>
      <c r="E20" s="100">
        <v>511.12887240568961</v>
      </c>
      <c r="F20" s="100">
        <v>562.78318349777203</v>
      </c>
      <c r="G20" s="100">
        <v>400.14436280034755</v>
      </c>
      <c r="H20" s="100"/>
      <c r="I20" s="100"/>
      <c r="J20" s="100"/>
      <c r="K20" s="101"/>
    </row>
    <row r="21" spans="1:11" x14ac:dyDescent="0.25">
      <c r="A21" s="105" t="s">
        <v>23</v>
      </c>
      <c r="B21" s="102">
        <v>275.36252278275009</v>
      </c>
      <c r="C21" s="103">
        <v>256.94515153626128</v>
      </c>
      <c r="D21" s="103">
        <v>286.10478672215783</v>
      </c>
      <c r="E21" s="103">
        <v>302.58339232455791</v>
      </c>
      <c r="F21" s="103">
        <v>292.21624802501333</v>
      </c>
      <c r="G21" s="103">
        <v>306.20302749542731</v>
      </c>
      <c r="H21" s="103">
        <v>325.11817295157954</v>
      </c>
      <c r="I21" s="103">
        <v>281.52703187920127</v>
      </c>
      <c r="J21" s="103">
        <v>259.66409626564837</v>
      </c>
      <c r="K21" s="104">
        <v>291.5873642277719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1"/>
  <sheetViews>
    <sheetView zoomScale="85" zoomScaleNormal="85" workbookViewId="0"/>
  </sheetViews>
  <sheetFormatPr defaultRowHeight="13.2" x14ac:dyDescent="0.25"/>
  <cols>
    <col min="1" max="1" width="8.88671875" style="4"/>
    <col min="2" max="3" width="8.88671875" style="2"/>
    <col min="4" max="4" width="11.6640625" style="2" customWidth="1"/>
    <col min="5" max="5" width="10.21875" style="2" customWidth="1"/>
  </cols>
  <sheetData>
    <row r="1" spans="1:5" x14ac:dyDescent="0.25">
      <c r="A1" s="9" t="s">
        <v>31</v>
      </c>
      <c r="B1" s="10" t="s">
        <v>32</v>
      </c>
      <c r="C1" s="10" t="s">
        <v>45</v>
      </c>
      <c r="D1" s="10" t="s">
        <v>46</v>
      </c>
      <c r="E1" s="10" t="s">
        <v>33</v>
      </c>
    </row>
    <row r="2" spans="1:5" x14ac:dyDescent="0.25">
      <c r="A2" s="8" t="s">
        <v>4</v>
      </c>
      <c r="B2" s="3">
        <v>475.32667427149573</v>
      </c>
      <c r="C2" s="2" t="s">
        <v>35</v>
      </c>
      <c r="D2" s="2" t="s">
        <v>110</v>
      </c>
      <c r="E2" s="3">
        <v>616.40023029614986</v>
      </c>
    </row>
    <row r="3" spans="1:5" x14ac:dyDescent="0.25">
      <c r="A3" s="8" t="s">
        <v>5</v>
      </c>
      <c r="B3" s="3">
        <v>651.80718660875664</v>
      </c>
      <c r="C3" s="2" t="s">
        <v>35</v>
      </c>
      <c r="D3" s="2" t="s">
        <v>110</v>
      </c>
      <c r="E3" s="3">
        <v>647.97487921308891</v>
      </c>
    </row>
    <row r="4" spans="1:5" x14ac:dyDescent="0.25">
      <c r="A4" s="8" t="s">
        <v>6</v>
      </c>
      <c r="B4" s="3">
        <v>320.64043789170898</v>
      </c>
      <c r="C4" s="2" t="s">
        <v>35</v>
      </c>
      <c r="D4" s="2" t="s">
        <v>110</v>
      </c>
      <c r="E4" s="3">
        <v>577.03203641357425</v>
      </c>
    </row>
    <row r="5" spans="1:5" x14ac:dyDescent="0.25">
      <c r="A5" s="8" t="s">
        <v>7</v>
      </c>
      <c r="B5" s="3">
        <v>385.69722727134308</v>
      </c>
      <c r="C5" s="2" t="s">
        <v>35</v>
      </c>
      <c r="D5" s="2" t="s">
        <v>110</v>
      </c>
      <c r="E5" s="3">
        <v>595.50526763663129</v>
      </c>
    </row>
    <row r="6" spans="1:5" x14ac:dyDescent="0.25">
      <c r="A6" s="8" t="s">
        <v>8</v>
      </c>
      <c r="B6" s="3">
        <v>485.99541344560203</v>
      </c>
      <c r="C6" s="2" t="s">
        <v>35</v>
      </c>
      <c r="D6" s="2" t="s">
        <v>110</v>
      </c>
      <c r="E6" s="3">
        <v>618.61991865012328</v>
      </c>
    </row>
    <row r="7" spans="1:5" x14ac:dyDescent="0.25">
      <c r="A7" s="8" t="s">
        <v>9</v>
      </c>
      <c r="B7" s="3">
        <v>512.58382627839433</v>
      </c>
      <c r="C7" s="2" t="s">
        <v>35</v>
      </c>
      <c r="D7" s="2" t="s">
        <v>110</v>
      </c>
      <c r="E7" s="3">
        <v>623.94642611075551</v>
      </c>
    </row>
    <row r="8" spans="1:5" x14ac:dyDescent="0.25">
      <c r="A8" s="8" t="s">
        <v>10</v>
      </c>
      <c r="B8" s="3">
        <v>382.82949687036336</v>
      </c>
      <c r="C8" s="2" t="s">
        <v>35</v>
      </c>
      <c r="D8" s="2" t="s">
        <v>110</v>
      </c>
      <c r="E8" s="3">
        <v>594.75897121753837</v>
      </c>
    </row>
    <row r="9" spans="1:5" x14ac:dyDescent="0.25">
      <c r="A9" s="8" t="s">
        <v>11</v>
      </c>
      <c r="B9" s="3">
        <v>557.19808171051068</v>
      </c>
      <c r="C9" s="2" t="s">
        <v>35</v>
      </c>
      <c r="D9" s="2" t="s">
        <v>110</v>
      </c>
      <c r="E9" s="3">
        <v>632.2920799169126</v>
      </c>
    </row>
    <row r="10" spans="1:5" x14ac:dyDescent="0.25">
      <c r="A10" s="8" t="s">
        <v>12</v>
      </c>
      <c r="B10" s="3">
        <v>397.8174013059176</v>
      </c>
      <c r="C10" s="2" t="s">
        <v>35</v>
      </c>
      <c r="D10" s="2" t="s">
        <v>110</v>
      </c>
      <c r="E10" s="3">
        <v>598.59931093191392</v>
      </c>
    </row>
    <row r="11" spans="1:5" x14ac:dyDescent="0.25">
      <c r="A11" s="8" t="s">
        <v>13</v>
      </c>
      <c r="B11" s="3">
        <v>819.70211089506711</v>
      </c>
      <c r="C11" s="2" t="s">
        <v>35</v>
      </c>
      <c r="D11" s="2" t="s">
        <v>110</v>
      </c>
      <c r="E11" s="3">
        <v>670.8940994860094</v>
      </c>
    </row>
    <row r="12" spans="1:5" x14ac:dyDescent="0.25">
      <c r="A12" s="8" t="s">
        <v>14</v>
      </c>
      <c r="B12" s="3">
        <v>433.57928943384536</v>
      </c>
      <c r="C12" s="2" t="s">
        <v>35</v>
      </c>
      <c r="D12" s="2" t="s">
        <v>110</v>
      </c>
      <c r="E12" s="3">
        <v>607.20746847638532</v>
      </c>
    </row>
    <row r="13" spans="1:5" x14ac:dyDescent="0.25">
      <c r="A13" s="8" t="s">
        <v>15</v>
      </c>
      <c r="B13" s="3">
        <v>371.32223850460889</v>
      </c>
      <c r="C13" s="2" t="s">
        <v>35</v>
      </c>
      <c r="D13" s="2" t="s">
        <v>110</v>
      </c>
      <c r="E13" s="3">
        <v>591.70702530189169</v>
      </c>
    </row>
    <row r="14" spans="1:5" x14ac:dyDescent="0.25">
      <c r="A14" s="8" t="s">
        <v>16</v>
      </c>
      <c r="B14" s="3">
        <v>538.52150430516872</v>
      </c>
      <c r="C14" s="2" t="s">
        <v>35</v>
      </c>
      <c r="D14" s="2" t="s">
        <v>110</v>
      </c>
      <c r="E14" s="3">
        <v>628.88274295134477</v>
      </c>
    </row>
    <row r="15" spans="1:5" x14ac:dyDescent="0.25">
      <c r="A15" s="8" t="s">
        <v>17</v>
      </c>
      <c r="B15" s="3">
        <v>413.1992047488161</v>
      </c>
      <c r="C15" s="2" t="s">
        <v>35</v>
      </c>
      <c r="D15" s="2" t="s">
        <v>110</v>
      </c>
      <c r="E15" s="3">
        <v>602.3929812627988</v>
      </c>
    </row>
    <row r="16" spans="1:5" x14ac:dyDescent="0.25">
      <c r="A16" s="8" t="s">
        <v>18</v>
      </c>
      <c r="B16" s="3">
        <v>556.95340413485917</v>
      </c>
      <c r="C16" s="2" t="s">
        <v>35</v>
      </c>
      <c r="D16" s="2" t="s">
        <v>110</v>
      </c>
      <c r="E16" s="3">
        <v>632.24815813738917</v>
      </c>
    </row>
    <row r="17" spans="1:5" x14ac:dyDescent="0.25">
      <c r="A17" s="8" t="s">
        <v>19</v>
      </c>
      <c r="B17" s="3">
        <v>316.89839004473288</v>
      </c>
      <c r="C17" s="2" t="s">
        <v>35</v>
      </c>
      <c r="D17" s="2" t="s">
        <v>110</v>
      </c>
      <c r="E17" s="3">
        <v>575.85811863581034</v>
      </c>
    </row>
    <row r="18" spans="1:5" x14ac:dyDescent="0.25">
      <c r="A18" s="8" t="s">
        <v>20</v>
      </c>
      <c r="B18" s="3">
        <v>439.27428960093374</v>
      </c>
      <c r="C18" s="2" t="s">
        <v>35</v>
      </c>
      <c r="D18" s="2" t="s">
        <v>110</v>
      </c>
      <c r="E18" s="3">
        <v>608.51240234345983</v>
      </c>
    </row>
    <row r="19" spans="1:5" x14ac:dyDescent="0.25">
      <c r="A19" s="8" t="s">
        <v>22</v>
      </c>
      <c r="B19" s="3">
        <v>423.0528200283083</v>
      </c>
      <c r="C19" s="2" t="s">
        <v>35</v>
      </c>
      <c r="D19" s="2" t="s">
        <v>110</v>
      </c>
      <c r="E19" s="3">
        <v>604.74970412939456</v>
      </c>
    </row>
    <row r="20" spans="1:5" x14ac:dyDescent="0.25">
      <c r="A20" s="8" t="s">
        <v>21</v>
      </c>
      <c r="B20" s="3">
        <v>521.77313499707179</v>
      </c>
      <c r="C20" s="2" t="s">
        <v>35</v>
      </c>
      <c r="D20" s="2" t="s">
        <v>110</v>
      </c>
      <c r="E20" s="3">
        <v>625.72328861282176</v>
      </c>
    </row>
    <row r="21" spans="1:5" x14ac:dyDescent="0.25">
      <c r="A21" s="8" t="s">
        <v>23</v>
      </c>
      <c r="B21" s="3">
        <v>275.36252278275009</v>
      </c>
      <c r="C21" s="2" t="s">
        <v>35</v>
      </c>
      <c r="D21" s="2" t="s">
        <v>110</v>
      </c>
      <c r="E21" s="3">
        <v>561.80884941831368</v>
      </c>
    </row>
    <row r="22" spans="1:5" x14ac:dyDescent="0.25">
      <c r="A22" s="8" t="s">
        <v>4</v>
      </c>
      <c r="B22" s="3">
        <v>498.96096372119013</v>
      </c>
      <c r="C22" s="2" t="s">
        <v>36</v>
      </c>
      <c r="D22" s="2" t="s">
        <v>111</v>
      </c>
      <c r="E22" s="3">
        <v>621.25278636758185</v>
      </c>
    </row>
    <row r="23" spans="1:5" x14ac:dyDescent="0.25">
      <c r="A23" s="8" t="s">
        <v>5</v>
      </c>
      <c r="B23" s="3">
        <v>589.34576302694768</v>
      </c>
      <c r="C23" s="2" t="s">
        <v>36</v>
      </c>
      <c r="D23" s="2" t="s">
        <v>111</v>
      </c>
      <c r="E23" s="3">
        <v>637.90130454161385</v>
      </c>
    </row>
    <row r="24" spans="1:5" x14ac:dyDescent="0.25">
      <c r="A24" s="8" t="s">
        <v>6</v>
      </c>
      <c r="B24" s="3">
        <v>388.9994354818898</v>
      </c>
      <c r="C24" s="2" t="s">
        <v>36</v>
      </c>
      <c r="D24" s="2" t="s">
        <v>111</v>
      </c>
      <c r="E24" s="3">
        <v>596.35778924140254</v>
      </c>
    </row>
    <row r="25" spans="1:5" x14ac:dyDescent="0.25">
      <c r="A25" s="8" t="s">
        <v>7</v>
      </c>
      <c r="B25" s="3">
        <v>356.71910412559561</v>
      </c>
      <c r="C25" s="2" t="s">
        <v>36</v>
      </c>
      <c r="D25" s="2" t="s">
        <v>111</v>
      </c>
      <c r="E25" s="3">
        <v>587.69486488942118</v>
      </c>
    </row>
    <row r="26" spans="1:5" x14ac:dyDescent="0.25">
      <c r="A26" s="8" t="s">
        <v>8</v>
      </c>
      <c r="B26" s="3">
        <v>511.85887279444057</v>
      </c>
      <c r="C26" s="2" t="s">
        <v>36</v>
      </c>
      <c r="D26" s="2" t="s">
        <v>111</v>
      </c>
      <c r="E26" s="3">
        <v>623.80489479707182</v>
      </c>
    </row>
    <row r="27" spans="1:5" x14ac:dyDescent="0.25">
      <c r="A27" s="8" t="s">
        <v>9</v>
      </c>
      <c r="B27" s="3">
        <v>549.99042530787949</v>
      </c>
      <c r="C27" s="2" t="s">
        <v>36</v>
      </c>
      <c r="D27" s="2" t="s">
        <v>111</v>
      </c>
      <c r="E27" s="3">
        <v>630.99008695438579</v>
      </c>
    </row>
    <row r="28" spans="1:5" x14ac:dyDescent="0.25">
      <c r="A28" s="8" t="s">
        <v>10</v>
      </c>
      <c r="B28" s="3">
        <v>462.19491994197648</v>
      </c>
      <c r="C28" s="2" t="s">
        <v>36</v>
      </c>
      <c r="D28" s="2" t="s">
        <v>111</v>
      </c>
      <c r="E28" s="3">
        <v>613.59867067413165</v>
      </c>
    </row>
    <row r="29" spans="1:5" x14ac:dyDescent="0.25">
      <c r="A29" s="8" t="s">
        <v>11</v>
      </c>
      <c r="B29" s="3">
        <v>470.53667906325109</v>
      </c>
      <c r="C29" s="2" t="s">
        <v>36</v>
      </c>
      <c r="D29" s="2" t="s">
        <v>111</v>
      </c>
      <c r="E29" s="3">
        <v>615.38739136133597</v>
      </c>
    </row>
    <row r="30" spans="1:5" x14ac:dyDescent="0.25">
      <c r="A30" s="8" t="s">
        <v>12</v>
      </c>
      <c r="B30" s="3">
        <v>374.1521169784686</v>
      </c>
      <c r="C30" s="2" t="s">
        <v>36</v>
      </c>
      <c r="D30" s="2" t="s">
        <v>111</v>
      </c>
      <c r="E30" s="3">
        <v>592.4662444611306</v>
      </c>
    </row>
    <row r="31" spans="1:5" x14ac:dyDescent="0.25">
      <c r="A31" s="8" t="s">
        <v>13</v>
      </c>
      <c r="B31" s="3">
        <v>696.59997055858105</v>
      </c>
      <c r="C31" s="2" t="s">
        <v>36</v>
      </c>
      <c r="D31" s="2" t="s">
        <v>111</v>
      </c>
      <c r="E31" s="3">
        <v>654.62113156674457</v>
      </c>
    </row>
    <row r="32" spans="1:5" x14ac:dyDescent="0.25">
      <c r="A32" s="8" t="s">
        <v>14</v>
      </c>
      <c r="B32" s="3">
        <v>438.49087670819864</v>
      </c>
      <c r="C32" s="2" t="s">
        <v>36</v>
      </c>
      <c r="D32" s="2" t="s">
        <v>111</v>
      </c>
      <c r="E32" s="3">
        <v>608.33390059132398</v>
      </c>
    </row>
    <row r="33" spans="1:5" x14ac:dyDescent="0.25">
      <c r="A33" s="8" t="s">
        <v>15</v>
      </c>
      <c r="B33" s="3">
        <v>344.21922254034251</v>
      </c>
      <c r="C33" s="2" t="s">
        <v>36</v>
      </c>
      <c r="D33" s="2" t="s">
        <v>111</v>
      </c>
      <c r="E33" s="3">
        <v>584.12787292266012</v>
      </c>
    </row>
    <row r="34" spans="1:5" x14ac:dyDescent="0.25">
      <c r="A34" s="8" t="s">
        <v>16</v>
      </c>
      <c r="B34" s="3">
        <v>511.39108401823421</v>
      </c>
      <c r="C34" s="2" t="s">
        <v>36</v>
      </c>
      <c r="D34" s="2" t="s">
        <v>111</v>
      </c>
      <c r="E34" s="3">
        <v>623.71346282472132</v>
      </c>
    </row>
    <row r="35" spans="1:5" x14ac:dyDescent="0.25">
      <c r="A35" s="8" t="s">
        <v>17</v>
      </c>
      <c r="B35" s="3">
        <v>486.78150971415977</v>
      </c>
      <c r="C35" s="2" t="s">
        <v>36</v>
      </c>
      <c r="D35" s="2" t="s">
        <v>111</v>
      </c>
      <c r="E35" s="3">
        <v>618.78153770603512</v>
      </c>
    </row>
    <row r="36" spans="1:5" x14ac:dyDescent="0.25">
      <c r="A36" s="8" t="s">
        <v>18</v>
      </c>
      <c r="B36" s="3">
        <v>513.63080360087929</v>
      </c>
      <c r="C36" s="2" t="s">
        <v>36</v>
      </c>
      <c r="D36" s="2" t="s">
        <v>111</v>
      </c>
      <c r="E36" s="3">
        <v>624.15047264356815</v>
      </c>
    </row>
    <row r="37" spans="1:5" x14ac:dyDescent="0.25">
      <c r="A37" s="8" t="s">
        <v>19</v>
      </c>
      <c r="B37" s="3">
        <v>279.93388890001791</v>
      </c>
      <c r="C37" s="2" t="s">
        <v>36</v>
      </c>
      <c r="D37" s="2" t="s">
        <v>111</v>
      </c>
      <c r="E37" s="3">
        <v>563.45534642192774</v>
      </c>
    </row>
    <row r="38" spans="1:5" x14ac:dyDescent="0.25">
      <c r="A38" s="8" t="s">
        <v>20</v>
      </c>
      <c r="B38" s="3">
        <v>399.83619734658271</v>
      </c>
      <c r="C38" s="2" t="s">
        <v>36</v>
      </c>
      <c r="D38" s="2" t="s">
        <v>111</v>
      </c>
      <c r="E38" s="3">
        <v>599.10549566036991</v>
      </c>
    </row>
    <row r="39" spans="1:5" x14ac:dyDescent="0.25">
      <c r="A39" s="8" t="s">
        <v>22</v>
      </c>
      <c r="B39" s="3">
        <v>339.76469727793346</v>
      </c>
      <c r="C39" s="2" t="s">
        <v>36</v>
      </c>
      <c r="D39" s="2" t="s">
        <v>111</v>
      </c>
      <c r="E39" s="3">
        <v>582.82533111918042</v>
      </c>
    </row>
    <row r="40" spans="1:5" x14ac:dyDescent="0.25">
      <c r="A40" s="8" t="s">
        <v>21</v>
      </c>
      <c r="B40" s="3">
        <v>446.27946500977635</v>
      </c>
      <c r="C40" s="2" t="s">
        <v>36</v>
      </c>
      <c r="D40" s="2" t="s">
        <v>111</v>
      </c>
      <c r="E40" s="3">
        <v>610.09453589472059</v>
      </c>
    </row>
    <row r="41" spans="1:5" x14ac:dyDescent="0.25">
      <c r="A41" s="8" t="s">
        <v>23</v>
      </c>
      <c r="B41" s="3">
        <v>256.94515153626128</v>
      </c>
      <c r="C41" s="2" t="s">
        <v>36</v>
      </c>
      <c r="D41" s="2" t="s">
        <v>111</v>
      </c>
      <c r="E41" s="3">
        <v>554.88626439714835</v>
      </c>
    </row>
    <row r="42" spans="1:5" x14ac:dyDescent="0.25">
      <c r="A42" s="8" t="s">
        <v>4</v>
      </c>
      <c r="B42" s="3">
        <v>0</v>
      </c>
      <c r="C42" s="2" t="s">
        <v>37</v>
      </c>
      <c r="D42" s="2" t="s">
        <v>112</v>
      </c>
      <c r="E42" s="3">
        <v>0</v>
      </c>
    </row>
    <row r="43" spans="1:5" x14ac:dyDescent="0.25">
      <c r="A43" s="8" t="s">
        <v>5</v>
      </c>
      <c r="B43" s="3">
        <v>0</v>
      </c>
      <c r="C43" s="2" t="s">
        <v>37</v>
      </c>
      <c r="D43" s="2" t="s">
        <v>112</v>
      </c>
      <c r="E43" s="3">
        <v>0</v>
      </c>
    </row>
    <row r="44" spans="1:5" x14ac:dyDescent="0.25">
      <c r="A44" s="8" t="s">
        <v>6</v>
      </c>
      <c r="B44" s="3">
        <v>0</v>
      </c>
      <c r="C44" s="2" t="s">
        <v>37</v>
      </c>
      <c r="D44" s="2" t="s">
        <v>112</v>
      </c>
      <c r="E44" s="3">
        <v>0</v>
      </c>
    </row>
    <row r="45" spans="1:5" x14ac:dyDescent="0.25">
      <c r="A45" s="8" t="s">
        <v>7</v>
      </c>
      <c r="B45" s="3">
        <v>0</v>
      </c>
      <c r="C45" s="2" t="s">
        <v>37</v>
      </c>
      <c r="D45" s="2" t="s">
        <v>112</v>
      </c>
      <c r="E45" s="3">
        <v>0</v>
      </c>
    </row>
    <row r="46" spans="1:5" x14ac:dyDescent="0.25">
      <c r="A46" s="8" t="s">
        <v>8</v>
      </c>
      <c r="B46" s="3">
        <v>0</v>
      </c>
      <c r="C46" s="2" t="s">
        <v>37</v>
      </c>
      <c r="D46" s="2" t="s">
        <v>112</v>
      </c>
      <c r="E46" s="3">
        <v>0</v>
      </c>
    </row>
    <row r="47" spans="1:5" x14ac:dyDescent="0.25">
      <c r="A47" s="8" t="s">
        <v>9</v>
      </c>
      <c r="B47" s="3">
        <v>0</v>
      </c>
      <c r="C47" s="2" t="s">
        <v>37</v>
      </c>
      <c r="D47" s="2" t="s">
        <v>112</v>
      </c>
      <c r="E47" s="3">
        <v>0</v>
      </c>
    </row>
    <row r="48" spans="1:5" x14ac:dyDescent="0.25">
      <c r="A48" s="8" t="s">
        <v>10</v>
      </c>
      <c r="B48" s="3">
        <v>439.00546111357272</v>
      </c>
      <c r="C48" s="2" t="s">
        <v>37</v>
      </c>
      <c r="D48" s="2" t="s">
        <v>112</v>
      </c>
      <c r="E48" s="3">
        <v>608.45118528920398</v>
      </c>
    </row>
    <row r="49" spans="1:5" x14ac:dyDescent="0.25">
      <c r="A49" s="8" t="s">
        <v>11</v>
      </c>
      <c r="B49" s="3">
        <v>401.26481544339458</v>
      </c>
      <c r="C49" s="2" t="s">
        <v>37</v>
      </c>
      <c r="D49" s="2" t="s">
        <v>112</v>
      </c>
      <c r="E49" s="3">
        <v>599.46215969859941</v>
      </c>
    </row>
    <row r="50" spans="1:5" x14ac:dyDescent="0.25">
      <c r="A50" s="8" t="s">
        <v>12</v>
      </c>
      <c r="B50" s="3">
        <v>305.21957765792075</v>
      </c>
      <c r="C50" s="2" t="s">
        <v>37</v>
      </c>
      <c r="D50" s="2" t="s">
        <v>112</v>
      </c>
      <c r="E50" s="3">
        <v>572.10314443317429</v>
      </c>
    </row>
    <row r="51" spans="1:5" x14ac:dyDescent="0.25">
      <c r="A51" s="8" t="s">
        <v>13</v>
      </c>
      <c r="B51" s="3">
        <v>636.84102388508654</v>
      </c>
      <c r="C51" s="2" t="s">
        <v>37</v>
      </c>
      <c r="D51" s="2" t="s">
        <v>112</v>
      </c>
      <c r="E51" s="3">
        <v>645.65200543852677</v>
      </c>
    </row>
    <row r="52" spans="1:5" x14ac:dyDescent="0.25">
      <c r="A52" s="8" t="s">
        <v>14</v>
      </c>
      <c r="B52" s="3">
        <v>336.87598329006323</v>
      </c>
      <c r="C52" s="2" t="s">
        <v>37</v>
      </c>
      <c r="D52" s="2" t="s">
        <v>112</v>
      </c>
      <c r="E52" s="3">
        <v>581.97148605163318</v>
      </c>
    </row>
    <row r="53" spans="1:5" x14ac:dyDescent="0.25">
      <c r="A53" s="8" t="s">
        <v>15</v>
      </c>
      <c r="B53" s="3">
        <v>360.70406139588107</v>
      </c>
      <c r="C53" s="2" t="s">
        <v>37</v>
      </c>
      <c r="D53" s="2" t="s">
        <v>112</v>
      </c>
      <c r="E53" s="3">
        <v>588.80578476073481</v>
      </c>
    </row>
    <row r="54" spans="1:5" x14ac:dyDescent="0.25">
      <c r="A54" s="8" t="s">
        <v>16</v>
      </c>
      <c r="B54" s="3">
        <v>431.69228656815437</v>
      </c>
      <c r="C54" s="2" t="s">
        <v>37</v>
      </c>
      <c r="D54" s="2" t="s">
        <v>112</v>
      </c>
      <c r="E54" s="3">
        <v>606.77130348274579</v>
      </c>
    </row>
    <row r="55" spans="1:5" x14ac:dyDescent="0.25">
      <c r="A55" s="8" t="s">
        <v>17</v>
      </c>
      <c r="B55" s="3">
        <v>433.98754218539904</v>
      </c>
      <c r="C55" s="2" t="s">
        <v>37</v>
      </c>
      <c r="D55" s="2" t="s">
        <v>112</v>
      </c>
      <c r="E55" s="3">
        <v>607.30158290464806</v>
      </c>
    </row>
    <row r="56" spans="1:5" x14ac:dyDescent="0.25">
      <c r="A56" s="8" t="s">
        <v>18</v>
      </c>
      <c r="B56" s="3">
        <v>541.56208400952914</v>
      </c>
      <c r="C56" s="2" t="s">
        <v>37</v>
      </c>
      <c r="D56" s="2" t="s">
        <v>112</v>
      </c>
      <c r="E56" s="3">
        <v>629.44577117795052</v>
      </c>
    </row>
    <row r="57" spans="1:5" x14ac:dyDescent="0.25">
      <c r="A57" s="8" t="s">
        <v>19</v>
      </c>
      <c r="B57" s="3">
        <v>291.43907001698881</v>
      </c>
      <c r="C57" s="2" t="s">
        <v>37</v>
      </c>
      <c r="D57" s="2" t="s">
        <v>112</v>
      </c>
      <c r="E57" s="3">
        <v>567.48309617021789</v>
      </c>
    </row>
    <row r="58" spans="1:5" x14ac:dyDescent="0.25">
      <c r="A58" s="8" t="s">
        <v>20</v>
      </c>
      <c r="B58" s="3">
        <v>376.18986011140521</v>
      </c>
      <c r="C58" s="2" t="s">
        <v>37</v>
      </c>
      <c r="D58" s="2" t="s">
        <v>112</v>
      </c>
      <c r="E58" s="3">
        <v>593.00939630518053</v>
      </c>
    </row>
    <row r="59" spans="1:5" x14ac:dyDescent="0.25">
      <c r="A59" s="8" t="s">
        <v>22</v>
      </c>
      <c r="B59" s="3">
        <v>405.52800826292861</v>
      </c>
      <c r="C59" s="2" t="s">
        <v>37</v>
      </c>
      <c r="D59" s="2" t="s">
        <v>112</v>
      </c>
      <c r="E59" s="3">
        <v>600.51899421021869</v>
      </c>
    </row>
    <row r="60" spans="1:5" x14ac:dyDescent="0.25">
      <c r="A60" s="8" t="s">
        <v>21</v>
      </c>
      <c r="B60" s="3">
        <v>559.38506721852252</v>
      </c>
      <c r="C60" s="2" t="s">
        <v>37</v>
      </c>
      <c r="D60" s="2" t="s">
        <v>112</v>
      </c>
      <c r="E60" s="3">
        <v>632.68380861293338</v>
      </c>
    </row>
    <row r="61" spans="1:5" x14ac:dyDescent="0.25">
      <c r="A61" s="8" t="s">
        <v>23</v>
      </c>
      <c r="B61" s="3">
        <v>286.10478672215783</v>
      </c>
      <c r="C61" s="2" t="s">
        <v>37</v>
      </c>
      <c r="D61" s="2" t="s">
        <v>112</v>
      </c>
      <c r="E61" s="3">
        <v>565.6358130856886</v>
      </c>
    </row>
    <row r="62" spans="1:5" x14ac:dyDescent="0.25">
      <c r="A62" s="8" t="s">
        <v>4</v>
      </c>
      <c r="B62" s="3">
        <v>0</v>
      </c>
      <c r="C62" s="2" t="s">
        <v>38</v>
      </c>
      <c r="D62" s="2" t="s">
        <v>110</v>
      </c>
      <c r="E62" s="3">
        <v>0</v>
      </c>
    </row>
    <row r="63" spans="1:5" x14ac:dyDescent="0.25">
      <c r="A63" s="8" t="s">
        <v>5</v>
      </c>
      <c r="B63" s="3">
        <v>0</v>
      </c>
      <c r="C63" s="2" t="s">
        <v>38</v>
      </c>
      <c r="D63" s="2" t="s">
        <v>110</v>
      </c>
      <c r="E63" s="3">
        <v>0</v>
      </c>
    </row>
    <row r="64" spans="1:5" x14ac:dyDescent="0.25">
      <c r="A64" s="8" t="s">
        <v>6</v>
      </c>
      <c r="B64" s="3">
        <v>0</v>
      </c>
      <c r="C64" s="2" t="s">
        <v>38</v>
      </c>
      <c r="D64" s="2" t="s">
        <v>110</v>
      </c>
      <c r="E64" s="3">
        <v>0</v>
      </c>
    </row>
    <row r="65" spans="1:5" x14ac:dyDescent="0.25">
      <c r="A65" s="8" t="s">
        <v>7</v>
      </c>
      <c r="B65" s="3">
        <v>0</v>
      </c>
      <c r="C65" s="2" t="s">
        <v>38</v>
      </c>
      <c r="D65" s="2" t="s">
        <v>110</v>
      </c>
      <c r="E65" s="3">
        <v>0</v>
      </c>
    </row>
    <row r="66" spans="1:5" x14ac:dyDescent="0.25">
      <c r="A66" s="8" t="s">
        <v>8</v>
      </c>
      <c r="B66" s="3">
        <v>0</v>
      </c>
      <c r="C66" s="2" t="s">
        <v>38</v>
      </c>
      <c r="D66" s="2" t="s">
        <v>110</v>
      </c>
      <c r="E66" s="3">
        <v>0</v>
      </c>
    </row>
    <row r="67" spans="1:5" x14ac:dyDescent="0.25">
      <c r="A67" s="8" t="s">
        <v>9</v>
      </c>
      <c r="B67" s="3">
        <v>0</v>
      </c>
      <c r="C67" s="2" t="s">
        <v>38</v>
      </c>
      <c r="D67" s="2" t="s">
        <v>110</v>
      </c>
      <c r="E67" s="3">
        <v>0</v>
      </c>
    </row>
    <row r="68" spans="1:5" x14ac:dyDescent="0.25">
      <c r="A68" s="8" t="s">
        <v>10</v>
      </c>
      <c r="B68" s="3">
        <v>481.68581731986257</v>
      </c>
      <c r="C68" s="2" t="s">
        <v>38</v>
      </c>
      <c r="D68" s="2" t="s">
        <v>110</v>
      </c>
      <c r="E68" s="3">
        <v>617.72920702296324</v>
      </c>
    </row>
    <row r="69" spans="1:5" x14ac:dyDescent="0.25">
      <c r="A69" s="8" t="s">
        <v>11</v>
      </c>
      <c r="B69" s="3">
        <v>456.02768656272963</v>
      </c>
      <c r="C69" s="2" t="s">
        <v>38</v>
      </c>
      <c r="D69" s="2" t="s">
        <v>110</v>
      </c>
      <c r="E69" s="3">
        <v>612.25535238175723</v>
      </c>
    </row>
    <row r="70" spans="1:5" x14ac:dyDescent="0.25">
      <c r="A70" s="8" t="s">
        <v>12</v>
      </c>
      <c r="B70" s="3">
        <v>397.7294356931904</v>
      </c>
      <c r="C70" s="2" t="s">
        <v>38</v>
      </c>
      <c r="D70" s="2" t="s">
        <v>110</v>
      </c>
      <c r="E70" s="3">
        <v>598.57719642928635</v>
      </c>
    </row>
    <row r="71" spans="1:5" x14ac:dyDescent="0.25">
      <c r="A71" s="8" t="s">
        <v>13</v>
      </c>
      <c r="B71" s="3">
        <v>738.02815088472062</v>
      </c>
      <c r="C71" s="2" t="s">
        <v>38</v>
      </c>
      <c r="D71" s="2" t="s">
        <v>110</v>
      </c>
      <c r="E71" s="3">
        <v>660.39819687032218</v>
      </c>
    </row>
    <row r="72" spans="1:5" x14ac:dyDescent="0.25">
      <c r="A72" s="8" t="s">
        <v>14</v>
      </c>
      <c r="B72" s="3">
        <v>418.24559268320269</v>
      </c>
      <c r="C72" s="2" t="s">
        <v>38</v>
      </c>
      <c r="D72" s="2" t="s">
        <v>110</v>
      </c>
      <c r="E72" s="3">
        <v>603.60688022936677</v>
      </c>
    </row>
    <row r="73" spans="1:5" x14ac:dyDescent="0.25">
      <c r="A73" s="8" t="s">
        <v>15</v>
      </c>
      <c r="B73" s="3">
        <v>363.87887008461479</v>
      </c>
      <c r="C73" s="2" t="s">
        <v>38</v>
      </c>
      <c r="D73" s="2" t="s">
        <v>110</v>
      </c>
      <c r="E73" s="3">
        <v>589.68210377622063</v>
      </c>
    </row>
    <row r="74" spans="1:5" x14ac:dyDescent="0.25">
      <c r="A74" s="8" t="s">
        <v>16</v>
      </c>
      <c r="B74" s="3">
        <v>393.06171903373519</v>
      </c>
      <c r="C74" s="2" t="s">
        <v>38</v>
      </c>
      <c r="D74" s="2" t="s">
        <v>110</v>
      </c>
      <c r="E74" s="3">
        <v>597.39666454262135</v>
      </c>
    </row>
    <row r="75" spans="1:5" x14ac:dyDescent="0.25">
      <c r="A75" s="8" t="s">
        <v>17</v>
      </c>
      <c r="B75" s="3">
        <v>444.94469014311164</v>
      </c>
      <c r="C75" s="2" t="s">
        <v>38</v>
      </c>
      <c r="D75" s="2" t="s">
        <v>110</v>
      </c>
      <c r="E75" s="3">
        <v>609.79499826281403</v>
      </c>
    </row>
    <row r="76" spans="1:5" x14ac:dyDescent="0.25">
      <c r="A76" s="8" t="s">
        <v>18</v>
      </c>
      <c r="B76" s="3">
        <v>633.49136571557835</v>
      </c>
      <c r="C76" s="2" t="s">
        <v>38</v>
      </c>
      <c r="D76" s="2" t="s">
        <v>110</v>
      </c>
      <c r="E76" s="3">
        <v>645.12463701743548</v>
      </c>
    </row>
    <row r="77" spans="1:5" x14ac:dyDescent="0.25">
      <c r="A77" s="8" t="s">
        <v>19</v>
      </c>
      <c r="B77" s="3">
        <v>292.08938694681126</v>
      </c>
      <c r="C77" s="2" t="s">
        <v>38</v>
      </c>
      <c r="D77" s="2" t="s">
        <v>110</v>
      </c>
      <c r="E77" s="3">
        <v>567.70598751040723</v>
      </c>
    </row>
    <row r="78" spans="1:5" x14ac:dyDescent="0.25">
      <c r="A78" s="8" t="s">
        <v>20</v>
      </c>
      <c r="B78" s="3">
        <v>465.38771664652137</v>
      </c>
      <c r="C78" s="2" t="s">
        <v>38</v>
      </c>
      <c r="D78" s="2" t="s">
        <v>110</v>
      </c>
      <c r="E78" s="3">
        <v>614.2870857409705</v>
      </c>
    </row>
    <row r="79" spans="1:5" x14ac:dyDescent="0.25">
      <c r="A79" s="8" t="s">
        <v>22</v>
      </c>
      <c r="B79" s="3">
        <v>371.98636681660139</v>
      </c>
      <c r="C79" s="2" t="s">
        <v>38</v>
      </c>
      <c r="D79" s="2" t="s">
        <v>110</v>
      </c>
      <c r="E79" s="3">
        <v>591.88572052591098</v>
      </c>
    </row>
    <row r="80" spans="1:5" x14ac:dyDescent="0.25">
      <c r="A80" s="8" t="s">
        <v>21</v>
      </c>
      <c r="B80" s="3">
        <v>511.12887240568961</v>
      </c>
      <c r="C80" s="2" t="s">
        <v>38</v>
      </c>
      <c r="D80" s="2" t="s">
        <v>110</v>
      </c>
      <c r="E80" s="3">
        <v>623.66217548961447</v>
      </c>
    </row>
    <row r="81" spans="1:5" x14ac:dyDescent="0.25">
      <c r="A81" s="8" t="s">
        <v>23</v>
      </c>
      <c r="B81" s="3">
        <v>302.58339232455791</v>
      </c>
      <c r="C81" s="2" t="s">
        <v>38</v>
      </c>
      <c r="D81" s="2" t="s">
        <v>110</v>
      </c>
      <c r="E81" s="3">
        <v>571.2356916584921</v>
      </c>
    </row>
    <row r="82" spans="1:5" x14ac:dyDescent="0.25">
      <c r="A82" s="8" t="s">
        <v>4</v>
      </c>
      <c r="B82" s="3">
        <v>0</v>
      </c>
      <c r="C82" s="2" t="s">
        <v>39</v>
      </c>
      <c r="D82" s="2" t="s">
        <v>111</v>
      </c>
      <c r="E82" s="3">
        <v>0</v>
      </c>
    </row>
    <row r="83" spans="1:5" x14ac:dyDescent="0.25">
      <c r="A83" s="8" t="s">
        <v>5</v>
      </c>
      <c r="B83" s="3">
        <v>0</v>
      </c>
      <c r="C83" s="2" t="s">
        <v>39</v>
      </c>
      <c r="D83" s="2" t="s">
        <v>111</v>
      </c>
      <c r="E83" s="3">
        <v>0</v>
      </c>
    </row>
    <row r="84" spans="1:5" x14ac:dyDescent="0.25">
      <c r="A84" s="8" t="s">
        <v>6</v>
      </c>
      <c r="B84" s="3">
        <v>0</v>
      </c>
      <c r="C84" s="2" t="s">
        <v>39</v>
      </c>
      <c r="D84" s="2" t="s">
        <v>111</v>
      </c>
      <c r="E84" s="3">
        <v>0</v>
      </c>
    </row>
    <row r="85" spans="1:5" x14ac:dyDescent="0.25">
      <c r="A85" s="8" t="s">
        <v>7</v>
      </c>
      <c r="B85" s="3">
        <v>0</v>
      </c>
      <c r="C85" s="2" t="s">
        <v>39</v>
      </c>
      <c r="D85" s="2" t="s">
        <v>111</v>
      </c>
      <c r="E85" s="3">
        <v>0</v>
      </c>
    </row>
    <row r="86" spans="1:5" x14ac:dyDescent="0.25">
      <c r="A86" s="8" t="s">
        <v>8</v>
      </c>
      <c r="B86" s="3">
        <v>0</v>
      </c>
      <c r="C86" s="2" t="s">
        <v>39</v>
      </c>
      <c r="D86" s="2" t="s">
        <v>111</v>
      </c>
      <c r="E86" s="3">
        <v>0</v>
      </c>
    </row>
    <row r="87" spans="1:5" x14ac:dyDescent="0.25">
      <c r="A87" s="8" t="s">
        <v>9</v>
      </c>
      <c r="B87" s="3">
        <v>0</v>
      </c>
      <c r="C87" s="2" t="s">
        <v>39</v>
      </c>
      <c r="D87" s="2" t="s">
        <v>111</v>
      </c>
      <c r="E87" s="3">
        <v>0</v>
      </c>
    </row>
    <row r="88" spans="1:5" x14ac:dyDescent="0.25">
      <c r="A88" s="8" t="s">
        <v>10</v>
      </c>
      <c r="B88" s="3">
        <v>640.14876215065715</v>
      </c>
      <c r="C88" s="2" t="s">
        <v>39</v>
      </c>
      <c r="D88" s="2" t="s">
        <v>111</v>
      </c>
      <c r="E88" s="3">
        <v>646.17005902039284</v>
      </c>
    </row>
    <row r="89" spans="1:5" x14ac:dyDescent="0.25">
      <c r="A89" s="8" t="s">
        <v>11</v>
      </c>
      <c r="B89" s="3">
        <v>465.30671418037213</v>
      </c>
      <c r="C89" s="2" t="s">
        <v>39</v>
      </c>
      <c r="D89" s="2" t="s">
        <v>111</v>
      </c>
      <c r="E89" s="3">
        <v>614.26967885345277</v>
      </c>
    </row>
    <row r="90" spans="1:5" x14ac:dyDescent="0.25">
      <c r="A90" s="8" t="s">
        <v>12</v>
      </c>
      <c r="B90" s="3">
        <v>335.30808608831637</v>
      </c>
      <c r="C90" s="2" t="s">
        <v>39</v>
      </c>
      <c r="D90" s="2" t="s">
        <v>111</v>
      </c>
      <c r="E90" s="3">
        <v>581.50497691620603</v>
      </c>
    </row>
    <row r="91" spans="1:5" x14ac:dyDescent="0.25">
      <c r="A91" s="8" t="s">
        <v>13</v>
      </c>
      <c r="B91" s="3">
        <v>758.22047139134395</v>
      </c>
      <c r="C91" s="2" t="s">
        <v>39</v>
      </c>
      <c r="D91" s="2" t="s">
        <v>111</v>
      </c>
      <c r="E91" s="3">
        <v>663.09742027063248</v>
      </c>
    </row>
    <row r="92" spans="1:5" x14ac:dyDescent="0.25">
      <c r="A92" s="8" t="s">
        <v>14</v>
      </c>
      <c r="B92" s="3">
        <v>438.65041357454646</v>
      </c>
      <c r="C92" s="2" t="s">
        <v>39</v>
      </c>
      <c r="D92" s="2" t="s">
        <v>111</v>
      </c>
      <c r="E92" s="3">
        <v>608.3702771408889</v>
      </c>
    </row>
    <row r="93" spans="1:5" x14ac:dyDescent="0.25">
      <c r="A93" s="8" t="s">
        <v>15</v>
      </c>
      <c r="B93" s="3">
        <v>377.10249974704601</v>
      </c>
      <c r="C93" s="2" t="s">
        <v>39</v>
      </c>
      <c r="D93" s="2" t="s">
        <v>111</v>
      </c>
      <c r="E93" s="3">
        <v>593.2517033112789</v>
      </c>
    </row>
    <row r="94" spans="1:5" x14ac:dyDescent="0.25">
      <c r="A94" s="8" t="s">
        <v>16</v>
      </c>
      <c r="B94" s="3">
        <v>399.40846170893167</v>
      </c>
      <c r="C94" s="2" t="s">
        <v>39</v>
      </c>
      <c r="D94" s="2" t="s">
        <v>111</v>
      </c>
      <c r="E94" s="3">
        <v>598.99846068087004</v>
      </c>
    </row>
    <row r="95" spans="1:5" x14ac:dyDescent="0.25">
      <c r="A95" s="8" t="s">
        <v>17</v>
      </c>
      <c r="B95" s="3">
        <v>385.39716794374999</v>
      </c>
      <c r="C95" s="2" t="s">
        <v>39</v>
      </c>
      <c r="D95" s="2" t="s">
        <v>111</v>
      </c>
      <c r="E95" s="3">
        <v>595.42744075976623</v>
      </c>
    </row>
    <row r="96" spans="1:5" x14ac:dyDescent="0.25">
      <c r="A96" s="8" t="s">
        <v>18</v>
      </c>
      <c r="B96" s="3">
        <v>626.15003979730523</v>
      </c>
      <c r="C96" s="2" t="s">
        <v>39</v>
      </c>
      <c r="D96" s="2" t="s">
        <v>111</v>
      </c>
      <c r="E96" s="3">
        <v>643.95900225687797</v>
      </c>
    </row>
    <row r="97" spans="1:5" x14ac:dyDescent="0.25">
      <c r="A97" s="8" t="s">
        <v>19</v>
      </c>
      <c r="B97" s="3">
        <v>298.55637470018604</v>
      </c>
      <c r="C97" s="2" t="s">
        <v>39</v>
      </c>
      <c r="D97" s="2" t="s">
        <v>111</v>
      </c>
      <c r="E97" s="3">
        <v>569.89587749679811</v>
      </c>
    </row>
    <row r="98" spans="1:5" x14ac:dyDescent="0.25">
      <c r="A98" s="8" t="s">
        <v>20</v>
      </c>
      <c r="B98" s="3">
        <v>374.99979796285737</v>
      </c>
      <c r="C98" s="2" t="s">
        <v>39</v>
      </c>
      <c r="D98" s="2" t="s">
        <v>111</v>
      </c>
      <c r="E98" s="3">
        <v>592.69254872045519</v>
      </c>
    </row>
    <row r="99" spans="1:5" x14ac:dyDescent="0.25">
      <c r="A99" s="8" t="s">
        <v>22</v>
      </c>
      <c r="B99" s="3">
        <v>402.53407302201936</v>
      </c>
      <c r="C99" s="2" t="s">
        <v>39</v>
      </c>
      <c r="D99" s="2" t="s">
        <v>111</v>
      </c>
      <c r="E99" s="3">
        <v>599.77797467465712</v>
      </c>
    </row>
    <row r="100" spans="1:5" x14ac:dyDescent="0.25">
      <c r="A100" s="8" t="s">
        <v>21</v>
      </c>
      <c r="B100" s="3">
        <v>562.78318349777203</v>
      </c>
      <c r="C100" s="2" t="s">
        <v>39</v>
      </c>
      <c r="D100" s="2" t="s">
        <v>111</v>
      </c>
      <c r="E100" s="3">
        <v>633.28944447258914</v>
      </c>
    </row>
    <row r="101" spans="1:5" x14ac:dyDescent="0.25">
      <c r="A101" s="8" t="s">
        <v>23</v>
      </c>
      <c r="B101" s="3">
        <v>292.21624802501333</v>
      </c>
      <c r="C101" s="2" t="s">
        <v>39</v>
      </c>
      <c r="D101" s="2" t="s">
        <v>111</v>
      </c>
      <c r="E101" s="3">
        <v>567.74941036057419</v>
      </c>
    </row>
    <row r="102" spans="1:5" x14ac:dyDescent="0.25">
      <c r="A102" s="8" t="s">
        <v>4</v>
      </c>
      <c r="B102" s="3">
        <v>0</v>
      </c>
      <c r="C102" s="2" t="s">
        <v>40</v>
      </c>
      <c r="D102" s="2" t="s">
        <v>112</v>
      </c>
      <c r="E102" s="3">
        <v>0</v>
      </c>
    </row>
    <row r="103" spans="1:5" x14ac:dyDescent="0.25">
      <c r="A103" s="8" t="s">
        <v>5</v>
      </c>
      <c r="B103" s="3">
        <v>0</v>
      </c>
      <c r="C103" s="2" t="s">
        <v>40</v>
      </c>
      <c r="D103" s="2" t="s">
        <v>112</v>
      </c>
      <c r="E103" s="3">
        <v>0</v>
      </c>
    </row>
    <row r="104" spans="1:5" x14ac:dyDescent="0.25">
      <c r="A104" s="8" t="s">
        <v>6</v>
      </c>
      <c r="B104" s="3">
        <v>0</v>
      </c>
      <c r="C104" s="2" t="s">
        <v>40</v>
      </c>
      <c r="D104" s="2" t="s">
        <v>112</v>
      </c>
      <c r="E104" s="3">
        <v>0</v>
      </c>
    </row>
    <row r="105" spans="1:5" x14ac:dyDescent="0.25">
      <c r="A105" s="8" t="s">
        <v>7</v>
      </c>
      <c r="B105" s="3">
        <v>0</v>
      </c>
      <c r="C105" s="2" t="s">
        <v>40</v>
      </c>
      <c r="D105" s="2" t="s">
        <v>112</v>
      </c>
      <c r="E105" s="3">
        <v>0</v>
      </c>
    </row>
    <row r="106" spans="1:5" x14ac:dyDescent="0.25">
      <c r="A106" s="8" t="s">
        <v>8</v>
      </c>
      <c r="B106" s="3">
        <v>0</v>
      </c>
      <c r="C106" s="2" t="s">
        <v>40</v>
      </c>
      <c r="D106" s="2" t="s">
        <v>112</v>
      </c>
      <c r="E106" s="3">
        <v>0</v>
      </c>
    </row>
    <row r="107" spans="1:5" x14ac:dyDescent="0.25">
      <c r="A107" s="8" t="s">
        <v>9</v>
      </c>
      <c r="B107" s="3">
        <v>0</v>
      </c>
      <c r="C107" s="2" t="s">
        <v>40</v>
      </c>
      <c r="D107" s="2" t="s">
        <v>112</v>
      </c>
      <c r="E107" s="3">
        <v>0</v>
      </c>
    </row>
    <row r="108" spans="1:5" x14ac:dyDescent="0.25">
      <c r="A108" s="8" t="s">
        <v>10</v>
      </c>
      <c r="B108" s="3">
        <v>0</v>
      </c>
      <c r="C108" s="2" t="s">
        <v>40</v>
      </c>
      <c r="D108" s="2" t="s">
        <v>112</v>
      </c>
      <c r="E108" s="3">
        <v>0</v>
      </c>
    </row>
    <row r="109" spans="1:5" x14ac:dyDescent="0.25">
      <c r="A109" s="8" t="s">
        <v>11</v>
      </c>
      <c r="B109" s="3">
        <v>0</v>
      </c>
      <c r="C109" s="2" t="s">
        <v>40</v>
      </c>
      <c r="D109" s="2" t="s">
        <v>112</v>
      </c>
      <c r="E109" s="3">
        <v>0</v>
      </c>
    </row>
    <row r="110" spans="1:5" x14ac:dyDescent="0.25">
      <c r="A110" s="8" t="s">
        <v>12</v>
      </c>
      <c r="B110" s="3">
        <v>0</v>
      </c>
      <c r="C110" s="2" t="s">
        <v>40</v>
      </c>
      <c r="D110" s="2" t="s">
        <v>112</v>
      </c>
      <c r="E110" s="3">
        <v>0</v>
      </c>
    </row>
    <row r="111" spans="1:5" x14ac:dyDescent="0.25">
      <c r="A111" s="8" t="s">
        <v>13</v>
      </c>
      <c r="B111" s="3">
        <v>0</v>
      </c>
      <c r="C111" s="2" t="s">
        <v>40</v>
      </c>
      <c r="D111" s="2" t="s">
        <v>112</v>
      </c>
      <c r="E111" s="3">
        <v>0</v>
      </c>
    </row>
    <row r="112" spans="1:5" x14ac:dyDescent="0.25">
      <c r="A112" s="8" t="s">
        <v>14</v>
      </c>
      <c r="B112" s="3">
        <v>0</v>
      </c>
      <c r="C112" s="2" t="s">
        <v>40</v>
      </c>
      <c r="D112" s="2" t="s">
        <v>112</v>
      </c>
      <c r="E112" s="3">
        <v>0</v>
      </c>
    </row>
    <row r="113" spans="1:5" x14ac:dyDescent="0.25">
      <c r="A113" s="8" t="s">
        <v>15</v>
      </c>
      <c r="B113" s="3">
        <v>0</v>
      </c>
      <c r="C113" s="2" t="s">
        <v>40</v>
      </c>
      <c r="D113" s="2" t="s">
        <v>112</v>
      </c>
      <c r="E113" s="3">
        <v>0</v>
      </c>
    </row>
    <row r="114" spans="1:5" x14ac:dyDescent="0.25">
      <c r="A114" s="8" t="s">
        <v>16</v>
      </c>
      <c r="B114" s="3">
        <v>434.96320648046452</v>
      </c>
      <c r="C114" s="2" t="s">
        <v>40</v>
      </c>
      <c r="D114" s="2" t="s">
        <v>112</v>
      </c>
      <c r="E114" s="3">
        <v>607.5261444707827</v>
      </c>
    </row>
    <row r="115" spans="1:5" x14ac:dyDescent="0.25">
      <c r="A115" s="8" t="s">
        <v>17</v>
      </c>
      <c r="B115" s="3">
        <v>408.78592671566179</v>
      </c>
      <c r="C115" s="2" t="s">
        <v>40</v>
      </c>
      <c r="D115" s="2" t="s">
        <v>112</v>
      </c>
      <c r="E115" s="3">
        <v>601.31916124545967</v>
      </c>
    </row>
    <row r="116" spans="1:5" x14ac:dyDescent="0.25">
      <c r="A116" s="8" t="s">
        <v>18</v>
      </c>
      <c r="B116" s="3">
        <v>531.59913621465432</v>
      </c>
      <c r="C116" s="2" t="s">
        <v>40</v>
      </c>
      <c r="D116" s="2" t="s">
        <v>112</v>
      </c>
      <c r="E116" s="3">
        <v>627.58897019593917</v>
      </c>
    </row>
    <row r="117" spans="1:5" x14ac:dyDescent="0.25">
      <c r="A117" s="8" t="s">
        <v>19</v>
      </c>
      <c r="B117" s="3">
        <v>258.44743806062189</v>
      </c>
      <c r="C117" s="2" t="s">
        <v>40</v>
      </c>
      <c r="D117" s="2" t="s">
        <v>112</v>
      </c>
      <c r="E117" s="3">
        <v>555.46923388849348</v>
      </c>
    </row>
    <row r="118" spans="1:5" x14ac:dyDescent="0.25">
      <c r="A118" s="8" t="s">
        <v>20</v>
      </c>
      <c r="B118" s="3">
        <v>371.22254616958759</v>
      </c>
      <c r="C118" s="2" t="s">
        <v>40</v>
      </c>
      <c r="D118" s="2" t="s">
        <v>112</v>
      </c>
      <c r="E118" s="3">
        <v>591.68017376709463</v>
      </c>
    </row>
    <row r="119" spans="1:5" x14ac:dyDescent="0.25">
      <c r="A119" s="8" t="s">
        <v>22</v>
      </c>
      <c r="B119" s="3">
        <v>465.91481263744009</v>
      </c>
      <c r="C119" s="2" t="s">
        <v>40</v>
      </c>
      <c r="D119" s="2" t="s">
        <v>112</v>
      </c>
      <c r="E119" s="3">
        <v>614.40028119156284</v>
      </c>
    </row>
    <row r="120" spans="1:5" x14ac:dyDescent="0.25">
      <c r="A120" s="8" t="s">
        <v>21</v>
      </c>
      <c r="B120" s="3">
        <v>400.14436280034755</v>
      </c>
      <c r="C120" s="2" t="s">
        <v>40</v>
      </c>
      <c r="D120" s="2" t="s">
        <v>112</v>
      </c>
      <c r="E120" s="3">
        <v>599.18253889975847</v>
      </c>
    </row>
    <row r="121" spans="1:5" x14ac:dyDescent="0.25">
      <c r="A121" s="8" t="s">
        <v>23</v>
      </c>
      <c r="B121" s="3">
        <v>306.20302749542731</v>
      </c>
      <c r="C121" s="2" t="s">
        <v>40</v>
      </c>
      <c r="D121" s="2" t="s">
        <v>112</v>
      </c>
      <c r="E121" s="3">
        <v>572.42483704883136</v>
      </c>
    </row>
    <row r="122" spans="1:5" x14ac:dyDescent="0.25">
      <c r="A122" s="8" t="s">
        <v>4</v>
      </c>
      <c r="B122" s="3">
        <v>0</v>
      </c>
      <c r="C122" s="2" t="s">
        <v>41</v>
      </c>
      <c r="D122" s="2" t="s">
        <v>110</v>
      </c>
      <c r="E122" s="3">
        <v>0</v>
      </c>
    </row>
    <row r="123" spans="1:5" x14ac:dyDescent="0.25">
      <c r="A123" s="8" t="s">
        <v>5</v>
      </c>
      <c r="B123" s="3">
        <v>0</v>
      </c>
      <c r="C123" s="2" t="s">
        <v>41</v>
      </c>
      <c r="D123" s="2" t="s">
        <v>110</v>
      </c>
      <c r="E123" s="3">
        <v>0</v>
      </c>
    </row>
    <row r="124" spans="1:5" x14ac:dyDescent="0.25">
      <c r="A124" s="8" t="s">
        <v>6</v>
      </c>
      <c r="B124" s="3">
        <v>0</v>
      </c>
      <c r="C124" s="2" t="s">
        <v>41</v>
      </c>
      <c r="D124" s="2" t="s">
        <v>110</v>
      </c>
      <c r="E124" s="3">
        <v>0</v>
      </c>
    </row>
    <row r="125" spans="1:5" x14ac:dyDescent="0.25">
      <c r="A125" s="8" t="s">
        <v>7</v>
      </c>
      <c r="B125" s="3">
        <v>0</v>
      </c>
      <c r="C125" s="2" t="s">
        <v>41</v>
      </c>
      <c r="D125" s="2" t="s">
        <v>110</v>
      </c>
      <c r="E125" s="3">
        <v>0</v>
      </c>
    </row>
    <row r="126" spans="1:5" x14ac:dyDescent="0.25">
      <c r="A126" s="8" t="s">
        <v>8</v>
      </c>
      <c r="B126" s="3">
        <v>0</v>
      </c>
      <c r="C126" s="2" t="s">
        <v>41</v>
      </c>
      <c r="D126" s="2" t="s">
        <v>110</v>
      </c>
      <c r="E126" s="3">
        <v>0</v>
      </c>
    </row>
    <row r="127" spans="1:5" x14ac:dyDescent="0.25">
      <c r="A127" s="8" t="s">
        <v>9</v>
      </c>
      <c r="B127" s="3">
        <v>0</v>
      </c>
      <c r="C127" s="2" t="s">
        <v>41</v>
      </c>
      <c r="D127" s="2" t="s">
        <v>110</v>
      </c>
      <c r="E127" s="3">
        <v>0</v>
      </c>
    </row>
    <row r="128" spans="1:5" x14ac:dyDescent="0.25">
      <c r="A128" s="8" t="s">
        <v>10</v>
      </c>
      <c r="B128" s="3">
        <v>0</v>
      </c>
      <c r="C128" s="2" t="s">
        <v>41</v>
      </c>
      <c r="D128" s="2" t="s">
        <v>110</v>
      </c>
      <c r="E128" s="3">
        <v>0</v>
      </c>
    </row>
    <row r="129" spans="1:5" x14ac:dyDescent="0.25">
      <c r="A129" s="8" t="s">
        <v>11</v>
      </c>
      <c r="B129" s="3">
        <v>0</v>
      </c>
      <c r="C129" s="2" t="s">
        <v>41</v>
      </c>
      <c r="D129" s="2" t="s">
        <v>110</v>
      </c>
      <c r="E129" s="3">
        <v>0</v>
      </c>
    </row>
    <row r="130" spans="1:5" x14ac:dyDescent="0.25">
      <c r="A130" s="8" t="s">
        <v>12</v>
      </c>
      <c r="B130" s="3">
        <v>0</v>
      </c>
      <c r="C130" s="2" t="s">
        <v>41</v>
      </c>
      <c r="D130" s="2" t="s">
        <v>110</v>
      </c>
      <c r="E130" s="3">
        <v>0</v>
      </c>
    </row>
    <row r="131" spans="1:5" x14ac:dyDescent="0.25">
      <c r="A131" s="8" t="s">
        <v>13</v>
      </c>
      <c r="B131" s="3">
        <v>0</v>
      </c>
      <c r="C131" s="2" t="s">
        <v>41</v>
      </c>
      <c r="D131" s="2" t="s">
        <v>110</v>
      </c>
      <c r="E131" s="3">
        <v>0</v>
      </c>
    </row>
    <row r="132" spans="1:5" x14ac:dyDescent="0.25">
      <c r="A132" s="8" t="s">
        <v>14</v>
      </c>
      <c r="B132" s="3">
        <v>0</v>
      </c>
      <c r="C132" s="2" t="s">
        <v>41</v>
      </c>
      <c r="D132" s="2" t="s">
        <v>110</v>
      </c>
      <c r="E132" s="3">
        <v>0</v>
      </c>
    </row>
    <row r="133" spans="1:5" x14ac:dyDescent="0.25">
      <c r="A133" s="8" t="s">
        <v>15</v>
      </c>
      <c r="B133" s="3">
        <v>0</v>
      </c>
      <c r="C133" s="2" t="s">
        <v>41</v>
      </c>
      <c r="D133" s="2" t="s">
        <v>110</v>
      </c>
      <c r="E133" s="3">
        <v>0</v>
      </c>
    </row>
    <row r="134" spans="1:5" x14ac:dyDescent="0.25">
      <c r="A134" s="8" t="s">
        <v>16</v>
      </c>
      <c r="B134" s="3">
        <v>0</v>
      </c>
      <c r="C134" s="2" t="s">
        <v>41</v>
      </c>
      <c r="D134" s="2" t="s">
        <v>110</v>
      </c>
      <c r="E134" s="3">
        <v>0</v>
      </c>
    </row>
    <row r="135" spans="1:5" x14ac:dyDescent="0.25">
      <c r="A135" s="8" t="s">
        <v>17</v>
      </c>
      <c r="B135" s="3">
        <v>0</v>
      </c>
      <c r="C135" s="2" t="s">
        <v>41</v>
      </c>
      <c r="D135" s="2" t="s">
        <v>110</v>
      </c>
      <c r="E135" s="3">
        <v>0</v>
      </c>
    </row>
    <row r="136" spans="1:5" x14ac:dyDescent="0.25">
      <c r="A136" s="8" t="s">
        <v>18</v>
      </c>
      <c r="B136" s="3">
        <v>0</v>
      </c>
      <c r="C136" s="2" t="s">
        <v>41</v>
      </c>
      <c r="D136" s="2" t="s">
        <v>110</v>
      </c>
      <c r="E136" s="3">
        <v>0</v>
      </c>
    </row>
    <row r="137" spans="1:5" x14ac:dyDescent="0.25">
      <c r="A137" s="8" t="s">
        <v>19</v>
      </c>
      <c r="B137" s="3">
        <v>0</v>
      </c>
      <c r="C137" s="2" t="s">
        <v>41</v>
      </c>
      <c r="D137" s="2" t="s">
        <v>110</v>
      </c>
      <c r="E137" s="3">
        <v>0</v>
      </c>
    </row>
    <row r="138" spans="1:5" x14ac:dyDescent="0.25">
      <c r="A138" s="8" t="s">
        <v>20</v>
      </c>
      <c r="B138" s="3">
        <v>0</v>
      </c>
      <c r="C138" s="2" t="s">
        <v>41</v>
      </c>
      <c r="D138" s="2" t="s">
        <v>110</v>
      </c>
      <c r="E138" s="3">
        <v>0</v>
      </c>
    </row>
    <row r="139" spans="1:5" x14ac:dyDescent="0.25">
      <c r="A139" s="8" t="s">
        <v>22</v>
      </c>
      <c r="B139" s="3">
        <v>0</v>
      </c>
      <c r="C139" s="2" t="s">
        <v>41</v>
      </c>
      <c r="D139" s="2" t="s">
        <v>110</v>
      </c>
      <c r="E139" s="3">
        <v>0</v>
      </c>
    </row>
    <row r="140" spans="1:5" x14ac:dyDescent="0.25">
      <c r="A140" s="8" t="s">
        <v>21</v>
      </c>
      <c r="B140" s="3">
        <v>0</v>
      </c>
      <c r="C140" s="2" t="s">
        <v>41</v>
      </c>
      <c r="D140" s="2" t="s">
        <v>110</v>
      </c>
      <c r="E140" s="3">
        <v>0</v>
      </c>
    </row>
    <row r="141" spans="1:5" x14ac:dyDescent="0.25">
      <c r="A141" s="8" t="s">
        <v>23</v>
      </c>
      <c r="B141" s="3">
        <v>325.11817295157954</v>
      </c>
      <c r="C141" s="2" t="s">
        <v>41</v>
      </c>
      <c r="D141" s="2" t="s">
        <v>110</v>
      </c>
      <c r="E141" s="3">
        <v>578.4188725321759</v>
      </c>
    </row>
    <row r="142" spans="1:5" x14ac:dyDescent="0.25">
      <c r="A142" s="8" t="s">
        <v>4</v>
      </c>
      <c r="B142" s="3">
        <v>0</v>
      </c>
      <c r="C142" s="2" t="s">
        <v>42</v>
      </c>
      <c r="D142" s="2" t="s">
        <v>111</v>
      </c>
      <c r="E142" s="3">
        <v>0</v>
      </c>
    </row>
    <row r="143" spans="1:5" x14ac:dyDescent="0.25">
      <c r="A143" s="8" t="s">
        <v>5</v>
      </c>
      <c r="B143" s="3">
        <v>0</v>
      </c>
      <c r="C143" s="2" t="s">
        <v>42</v>
      </c>
      <c r="D143" s="2" t="s">
        <v>111</v>
      </c>
      <c r="E143" s="3">
        <v>0</v>
      </c>
    </row>
    <row r="144" spans="1:5" x14ac:dyDescent="0.25">
      <c r="A144" s="8" t="s">
        <v>6</v>
      </c>
      <c r="B144" s="3">
        <v>0</v>
      </c>
      <c r="C144" s="2" t="s">
        <v>42</v>
      </c>
      <c r="D144" s="2" t="s">
        <v>111</v>
      </c>
      <c r="E144" s="3">
        <v>0</v>
      </c>
    </row>
    <row r="145" spans="1:5" x14ac:dyDescent="0.25">
      <c r="A145" s="8" t="s">
        <v>7</v>
      </c>
      <c r="B145" s="3">
        <v>0</v>
      </c>
      <c r="C145" s="2" t="s">
        <v>42</v>
      </c>
      <c r="D145" s="2" t="s">
        <v>111</v>
      </c>
      <c r="E145" s="3">
        <v>0</v>
      </c>
    </row>
    <row r="146" spans="1:5" x14ac:dyDescent="0.25">
      <c r="A146" s="8" t="s">
        <v>8</v>
      </c>
      <c r="B146" s="3">
        <v>0</v>
      </c>
      <c r="C146" s="2" t="s">
        <v>42</v>
      </c>
      <c r="D146" s="2" t="s">
        <v>111</v>
      </c>
      <c r="E146" s="3">
        <v>0</v>
      </c>
    </row>
    <row r="147" spans="1:5" x14ac:dyDescent="0.25">
      <c r="A147" s="8" t="s">
        <v>9</v>
      </c>
      <c r="B147" s="3">
        <v>0</v>
      </c>
      <c r="C147" s="2" t="s">
        <v>42</v>
      </c>
      <c r="D147" s="2" t="s">
        <v>111</v>
      </c>
      <c r="E147" s="3">
        <v>0</v>
      </c>
    </row>
    <row r="148" spans="1:5" x14ac:dyDescent="0.25">
      <c r="A148" s="8" t="s">
        <v>10</v>
      </c>
      <c r="B148" s="3">
        <v>0</v>
      </c>
      <c r="C148" s="2" t="s">
        <v>42</v>
      </c>
      <c r="D148" s="2" t="s">
        <v>111</v>
      </c>
      <c r="E148" s="3">
        <v>0</v>
      </c>
    </row>
    <row r="149" spans="1:5" x14ac:dyDescent="0.25">
      <c r="A149" s="8" t="s">
        <v>11</v>
      </c>
      <c r="B149" s="3">
        <v>0</v>
      </c>
      <c r="C149" s="2" t="s">
        <v>42</v>
      </c>
      <c r="D149" s="2" t="s">
        <v>111</v>
      </c>
      <c r="E149" s="3">
        <v>0</v>
      </c>
    </row>
    <row r="150" spans="1:5" x14ac:dyDescent="0.25">
      <c r="A150" s="8" t="s">
        <v>12</v>
      </c>
      <c r="B150" s="3">
        <v>0</v>
      </c>
      <c r="C150" s="2" t="s">
        <v>42</v>
      </c>
      <c r="D150" s="2" t="s">
        <v>111</v>
      </c>
      <c r="E150" s="3">
        <v>0</v>
      </c>
    </row>
    <row r="151" spans="1:5" x14ac:dyDescent="0.25">
      <c r="A151" s="8" t="s">
        <v>13</v>
      </c>
      <c r="B151" s="3">
        <v>0</v>
      </c>
      <c r="C151" s="2" t="s">
        <v>42</v>
      </c>
      <c r="D151" s="2" t="s">
        <v>111</v>
      </c>
      <c r="E151" s="3">
        <v>0</v>
      </c>
    </row>
    <row r="152" spans="1:5" x14ac:dyDescent="0.25">
      <c r="A152" s="8" t="s">
        <v>14</v>
      </c>
      <c r="B152" s="3">
        <v>0</v>
      </c>
      <c r="C152" s="2" t="s">
        <v>42</v>
      </c>
      <c r="D152" s="2" t="s">
        <v>111</v>
      </c>
      <c r="E152" s="3">
        <v>0</v>
      </c>
    </row>
    <row r="153" spans="1:5" x14ac:dyDescent="0.25">
      <c r="A153" s="8" t="s">
        <v>15</v>
      </c>
      <c r="B153" s="3">
        <v>0</v>
      </c>
      <c r="C153" s="2" t="s">
        <v>42</v>
      </c>
      <c r="D153" s="2" t="s">
        <v>111</v>
      </c>
      <c r="E153" s="3">
        <v>0</v>
      </c>
    </row>
    <row r="154" spans="1:5" x14ac:dyDescent="0.25">
      <c r="A154" s="8" t="s">
        <v>16</v>
      </c>
      <c r="B154" s="3">
        <v>0</v>
      </c>
      <c r="C154" s="2" t="s">
        <v>42</v>
      </c>
      <c r="D154" s="2" t="s">
        <v>111</v>
      </c>
      <c r="E154" s="3">
        <v>0</v>
      </c>
    </row>
    <row r="155" spans="1:5" x14ac:dyDescent="0.25">
      <c r="A155" s="8" t="s">
        <v>17</v>
      </c>
      <c r="B155" s="3">
        <v>0</v>
      </c>
      <c r="C155" s="2" t="s">
        <v>42</v>
      </c>
      <c r="D155" s="2" t="s">
        <v>111</v>
      </c>
      <c r="E155" s="3">
        <v>0</v>
      </c>
    </row>
    <row r="156" spans="1:5" x14ac:dyDescent="0.25">
      <c r="A156" s="8" t="s">
        <v>18</v>
      </c>
      <c r="B156" s="3">
        <v>0</v>
      </c>
      <c r="C156" s="2" t="s">
        <v>42</v>
      </c>
      <c r="D156" s="2" t="s">
        <v>111</v>
      </c>
      <c r="E156" s="3">
        <v>0</v>
      </c>
    </row>
    <row r="157" spans="1:5" x14ac:dyDescent="0.25">
      <c r="A157" s="8" t="s">
        <v>19</v>
      </c>
      <c r="B157" s="3">
        <v>0</v>
      </c>
      <c r="C157" s="2" t="s">
        <v>42</v>
      </c>
      <c r="D157" s="2" t="s">
        <v>111</v>
      </c>
      <c r="E157" s="3">
        <v>0</v>
      </c>
    </row>
    <row r="158" spans="1:5" x14ac:dyDescent="0.25">
      <c r="A158" s="8" t="s">
        <v>20</v>
      </c>
      <c r="B158" s="3">
        <v>0</v>
      </c>
      <c r="C158" s="2" t="s">
        <v>42</v>
      </c>
      <c r="D158" s="2" t="s">
        <v>111</v>
      </c>
      <c r="E158" s="3">
        <v>0</v>
      </c>
    </row>
    <row r="159" spans="1:5" x14ac:dyDescent="0.25">
      <c r="A159" s="8" t="s">
        <v>22</v>
      </c>
      <c r="B159" s="3">
        <v>0</v>
      </c>
      <c r="C159" s="2" t="s">
        <v>42</v>
      </c>
      <c r="D159" s="2" t="s">
        <v>111</v>
      </c>
      <c r="E159" s="3">
        <v>0</v>
      </c>
    </row>
    <row r="160" spans="1:5" x14ac:dyDescent="0.25">
      <c r="A160" s="8" t="s">
        <v>21</v>
      </c>
      <c r="B160" s="3">
        <v>0</v>
      </c>
      <c r="C160" s="2" t="s">
        <v>42</v>
      </c>
      <c r="D160" s="2" t="s">
        <v>111</v>
      </c>
      <c r="E160" s="3">
        <v>0</v>
      </c>
    </row>
    <row r="161" spans="1:5" x14ac:dyDescent="0.25">
      <c r="A161" s="8" t="s">
        <v>23</v>
      </c>
      <c r="B161" s="3">
        <v>281.52703187920127</v>
      </c>
      <c r="C161" s="2" t="s">
        <v>42</v>
      </c>
      <c r="D161" s="2" t="s">
        <v>111</v>
      </c>
      <c r="E161" s="3">
        <v>564.02284709594107</v>
      </c>
    </row>
    <row r="162" spans="1:5" x14ac:dyDescent="0.25">
      <c r="A162" s="8" t="s">
        <v>4</v>
      </c>
      <c r="B162" s="3">
        <v>0</v>
      </c>
      <c r="C162" s="2" t="s">
        <v>43</v>
      </c>
      <c r="D162" s="2" t="s">
        <v>112</v>
      </c>
      <c r="E162" s="3">
        <v>0</v>
      </c>
    </row>
    <row r="163" spans="1:5" x14ac:dyDescent="0.25">
      <c r="A163" s="8" t="s">
        <v>5</v>
      </c>
      <c r="B163" s="3">
        <v>0</v>
      </c>
      <c r="C163" s="2" t="s">
        <v>43</v>
      </c>
      <c r="D163" s="2" t="s">
        <v>112</v>
      </c>
      <c r="E163" s="3">
        <v>0</v>
      </c>
    </row>
    <row r="164" spans="1:5" x14ac:dyDescent="0.25">
      <c r="A164" s="8" t="s">
        <v>6</v>
      </c>
      <c r="B164" s="3">
        <v>0</v>
      </c>
      <c r="C164" s="2" t="s">
        <v>43</v>
      </c>
      <c r="D164" s="2" t="s">
        <v>112</v>
      </c>
      <c r="E164" s="3">
        <v>0</v>
      </c>
    </row>
    <row r="165" spans="1:5" x14ac:dyDescent="0.25">
      <c r="A165" s="8" t="s">
        <v>7</v>
      </c>
      <c r="B165" s="3">
        <v>0</v>
      </c>
      <c r="C165" s="2" t="s">
        <v>43</v>
      </c>
      <c r="D165" s="2" t="s">
        <v>112</v>
      </c>
      <c r="E165" s="3">
        <v>0</v>
      </c>
    </row>
    <row r="166" spans="1:5" x14ac:dyDescent="0.25">
      <c r="A166" s="8" t="s">
        <v>8</v>
      </c>
      <c r="B166" s="3">
        <v>0</v>
      </c>
      <c r="C166" s="2" t="s">
        <v>43</v>
      </c>
      <c r="D166" s="2" t="s">
        <v>112</v>
      </c>
      <c r="E166" s="3">
        <v>0</v>
      </c>
    </row>
    <row r="167" spans="1:5" x14ac:dyDescent="0.25">
      <c r="A167" s="8" t="s">
        <v>9</v>
      </c>
      <c r="B167" s="3">
        <v>0</v>
      </c>
      <c r="C167" s="2" t="s">
        <v>43</v>
      </c>
      <c r="D167" s="2" t="s">
        <v>112</v>
      </c>
      <c r="E167" s="3">
        <v>0</v>
      </c>
    </row>
    <row r="168" spans="1:5" x14ac:dyDescent="0.25">
      <c r="A168" s="8" t="s">
        <v>10</v>
      </c>
      <c r="B168" s="3">
        <v>0</v>
      </c>
      <c r="C168" s="2" t="s">
        <v>43</v>
      </c>
      <c r="D168" s="2" t="s">
        <v>112</v>
      </c>
      <c r="E168" s="3">
        <v>0</v>
      </c>
    </row>
    <row r="169" spans="1:5" x14ac:dyDescent="0.25">
      <c r="A169" s="8" t="s">
        <v>11</v>
      </c>
      <c r="B169" s="3">
        <v>0</v>
      </c>
      <c r="C169" s="2" t="s">
        <v>43</v>
      </c>
      <c r="D169" s="2" t="s">
        <v>112</v>
      </c>
      <c r="E169" s="3">
        <v>0</v>
      </c>
    </row>
    <row r="170" spans="1:5" x14ac:dyDescent="0.25">
      <c r="A170" s="8" t="s">
        <v>12</v>
      </c>
      <c r="B170" s="3">
        <v>0</v>
      </c>
      <c r="C170" s="2" t="s">
        <v>43</v>
      </c>
      <c r="D170" s="2" t="s">
        <v>112</v>
      </c>
      <c r="E170" s="3">
        <v>0</v>
      </c>
    </row>
    <row r="171" spans="1:5" x14ac:dyDescent="0.25">
      <c r="A171" s="8" t="s">
        <v>13</v>
      </c>
      <c r="B171" s="3">
        <v>0</v>
      </c>
      <c r="C171" s="2" t="s">
        <v>43</v>
      </c>
      <c r="D171" s="2" t="s">
        <v>112</v>
      </c>
      <c r="E171" s="3">
        <v>0</v>
      </c>
    </row>
    <row r="172" spans="1:5" x14ac:dyDescent="0.25">
      <c r="A172" s="8" t="s">
        <v>14</v>
      </c>
      <c r="B172" s="3">
        <v>0</v>
      </c>
      <c r="C172" s="2" t="s">
        <v>43</v>
      </c>
      <c r="D172" s="2" t="s">
        <v>112</v>
      </c>
      <c r="E172" s="3">
        <v>0</v>
      </c>
    </row>
    <row r="173" spans="1:5" x14ac:dyDescent="0.25">
      <c r="A173" s="8" t="s">
        <v>15</v>
      </c>
      <c r="B173" s="3">
        <v>0</v>
      </c>
      <c r="C173" s="2" t="s">
        <v>43</v>
      </c>
      <c r="D173" s="2" t="s">
        <v>112</v>
      </c>
      <c r="E173" s="3">
        <v>0</v>
      </c>
    </row>
    <row r="174" spans="1:5" x14ac:dyDescent="0.25">
      <c r="A174" s="8" t="s">
        <v>16</v>
      </c>
      <c r="B174" s="3">
        <v>0</v>
      </c>
      <c r="C174" s="2" t="s">
        <v>43</v>
      </c>
      <c r="D174" s="2" t="s">
        <v>112</v>
      </c>
      <c r="E174" s="3">
        <v>0</v>
      </c>
    </row>
    <row r="175" spans="1:5" x14ac:dyDescent="0.25">
      <c r="A175" s="8" t="s">
        <v>17</v>
      </c>
      <c r="B175" s="3">
        <v>0</v>
      </c>
      <c r="C175" s="2" t="s">
        <v>43</v>
      </c>
      <c r="D175" s="2" t="s">
        <v>112</v>
      </c>
      <c r="E175" s="3">
        <v>0</v>
      </c>
    </row>
    <row r="176" spans="1:5" x14ac:dyDescent="0.25">
      <c r="A176" s="8" t="s">
        <v>18</v>
      </c>
      <c r="B176" s="3">
        <v>0</v>
      </c>
      <c r="C176" s="2" t="s">
        <v>43</v>
      </c>
      <c r="D176" s="2" t="s">
        <v>112</v>
      </c>
      <c r="E176" s="3">
        <v>0</v>
      </c>
    </row>
    <row r="177" spans="1:5" x14ac:dyDescent="0.25">
      <c r="A177" s="8" t="s">
        <v>19</v>
      </c>
      <c r="B177" s="3">
        <v>0</v>
      </c>
      <c r="C177" s="2" t="s">
        <v>43</v>
      </c>
      <c r="D177" s="2" t="s">
        <v>112</v>
      </c>
      <c r="E177" s="3">
        <v>0</v>
      </c>
    </row>
    <row r="178" spans="1:5" x14ac:dyDescent="0.25">
      <c r="A178" s="8" t="s">
        <v>20</v>
      </c>
      <c r="B178" s="3">
        <v>0</v>
      </c>
      <c r="C178" s="2" t="s">
        <v>43</v>
      </c>
      <c r="D178" s="2" t="s">
        <v>112</v>
      </c>
      <c r="E178" s="3">
        <v>0</v>
      </c>
    </row>
    <row r="179" spans="1:5" x14ac:dyDescent="0.25">
      <c r="A179" s="8" t="s">
        <v>22</v>
      </c>
      <c r="B179" s="3">
        <v>0</v>
      </c>
      <c r="C179" s="2" t="s">
        <v>43</v>
      </c>
      <c r="D179" s="2" t="s">
        <v>112</v>
      </c>
      <c r="E179" s="3">
        <v>0</v>
      </c>
    </row>
    <row r="180" spans="1:5" x14ac:dyDescent="0.25">
      <c r="A180" s="8" t="s">
        <v>21</v>
      </c>
      <c r="B180" s="3">
        <v>0</v>
      </c>
      <c r="C180" s="2" t="s">
        <v>43</v>
      </c>
      <c r="D180" s="2" t="s">
        <v>112</v>
      </c>
      <c r="E180" s="3">
        <v>0</v>
      </c>
    </row>
    <row r="181" spans="1:5" x14ac:dyDescent="0.25">
      <c r="A181" s="8" t="s">
        <v>23</v>
      </c>
      <c r="B181" s="3">
        <v>259.66409626564837</v>
      </c>
      <c r="C181" s="2" t="s">
        <v>43</v>
      </c>
      <c r="D181" s="2" t="s">
        <v>112</v>
      </c>
      <c r="E181" s="3">
        <v>555.938885830505</v>
      </c>
    </row>
    <row r="182" spans="1:5" x14ac:dyDescent="0.25">
      <c r="A182" s="8" t="s">
        <v>4</v>
      </c>
      <c r="B182" s="3">
        <v>0</v>
      </c>
      <c r="C182" s="2" t="s">
        <v>44</v>
      </c>
      <c r="D182" s="2" t="s">
        <v>111</v>
      </c>
      <c r="E182" s="3">
        <v>0</v>
      </c>
    </row>
    <row r="183" spans="1:5" x14ac:dyDescent="0.25">
      <c r="A183" s="8" t="s">
        <v>5</v>
      </c>
      <c r="B183" s="3">
        <v>0</v>
      </c>
      <c r="C183" s="2" t="s">
        <v>44</v>
      </c>
      <c r="D183" s="2" t="s">
        <v>111</v>
      </c>
      <c r="E183" s="3">
        <v>0</v>
      </c>
    </row>
    <row r="184" spans="1:5" x14ac:dyDescent="0.25">
      <c r="A184" s="8" t="s">
        <v>6</v>
      </c>
      <c r="B184" s="3">
        <v>0</v>
      </c>
      <c r="C184" s="2" t="s">
        <v>44</v>
      </c>
      <c r="D184" s="2" t="s">
        <v>111</v>
      </c>
      <c r="E184" s="3">
        <v>0</v>
      </c>
    </row>
    <row r="185" spans="1:5" x14ac:dyDescent="0.25">
      <c r="A185" s="8" t="s">
        <v>7</v>
      </c>
      <c r="B185" s="3">
        <v>0</v>
      </c>
      <c r="C185" s="2" t="s">
        <v>44</v>
      </c>
      <c r="D185" s="2" t="s">
        <v>111</v>
      </c>
      <c r="E185" s="3">
        <v>0</v>
      </c>
    </row>
    <row r="186" spans="1:5" x14ac:dyDescent="0.25">
      <c r="A186" s="8" t="s">
        <v>8</v>
      </c>
      <c r="B186" s="3">
        <v>0</v>
      </c>
      <c r="C186" s="2" t="s">
        <v>44</v>
      </c>
      <c r="D186" s="2" t="s">
        <v>111</v>
      </c>
      <c r="E186" s="3">
        <v>0</v>
      </c>
    </row>
    <row r="187" spans="1:5" x14ac:dyDescent="0.25">
      <c r="A187" s="8" t="s">
        <v>9</v>
      </c>
      <c r="B187" s="3">
        <v>0</v>
      </c>
      <c r="C187" s="2" t="s">
        <v>44</v>
      </c>
      <c r="D187" s="2" t="s">
        <v>111</v>
      </c>
      <c r="E187" s="3">
        <v>0</v>
      </c>
    </row>
    <row r="188" spans="1:5" x14ac:dyDescent="0.25">
      <c r="A188" s="8" t="s">
        <v>10</v>
      </c>
      <c r="B188" s="3">
        <v>0</v>
      </c>
      <c r="C188" s="2" t="s">
        <v>44</v>
      </c>
      <c r="D188" s="2" t="s">
        <v>111</v>
      </c>
      <c r="E188" s="3">
        <v>0</v>
      </c>
    </row>
    <row r="189" spans="1:5" x14ac:dyDescent="0.25">
      <c r="A189" s="8" t="s">
        <v>11</v>
      </c>
      <c r="B189" s="3">
        <v>0</v>
      </c>
      <c r="C189" s="2" t="s">
        <v>44</v>
      </c>
      <c r="D189" s="2" t="s">
        <v>111</v>
      </c>
      <c r="E189" s="3">
        <v>0</v>
      </c>
    </row>
    <row r="190" spans="1:5" x14ac:dyDescent="0.25">
      <c r="A190" s="8" t="s">
        <v>12</v>
      </c>
      <c r="B190" s="3">
        <v>0</v>
      </c>
      <c r="C190" s="2" t="s">
        <v>44</v>
      </c>
      <c r="D190" s="2" t="s">
        <v>111</v>
      </c>
      <c r="E190" s="3">
        <v>0</v>
      </c>
    </row>
    <row r="191" spans="1:5" x14ac:dyDescent="0.25">
      <c r="A191" s="8" t="s">
        <v>13</v>
      </c>
      <c r="B191" s="3">
        <v>0</v>
      </c>
      <c r="C191" s="2" t="s">
        <v>44</v>
      </c>
      <c r="D191" s="2" t="s">
        <v>111</v>
      </c>
      <c r="E191" s="3">
        <v>0</v>
      </c>
    </row>
    <row r="192" spans="1:5" x14ac:dyDescent="0.25">
      <c r="A192" s="8" t="s">
        <v>14</v>
      </c>
      <c r="B192" s="3">
        <v>0</v>
      </c>
      <c r="C192" s="2" t="s">
        <v>44</v>
      </c>
      <c r="D192" s="2" t="s">
        <v>111</v>
      </c>
      <c r="E192" s="3">
        <v>0</v>
      </c>
    </row>
    <row r="193" spans="1:5" x14ac:dyDescent="0.25">
      <c r="A193" s="8" t="s">
        <v>15</v>
      </c>
      <c r="B193" s="3">
        <v>0</v>
      </c>
      <c r="C193" s="2" t="s">
        <v>44</v>
      </c>
      <c r="D193" s="2" t="s">
        <v>111</v>
      </c>
      <c r="E193" s="3">
        <v>0</v>
      </c>
    </row>
    <row r="194" spans="1:5" x14ac:dyDescent="0.25">
      <c r="A194" s="8" t="s">
        <v>16</v>
      </c>
      <c r="B194" s="3">
        <v>0</v>
      </c>
      <c r="C194" s="2" t="s">
        <v>44</v>
      </c>
      <c r="D194" s="2" t="s">
        <v>111</v>
      </c>
      <c r="E194" s="3">
        <v>0</v>
      </c>
    </row>
    <row r="195" spans="1:5" x14ac:dyDescent="0.25">
      <c r="A195" s="8" t="s">
        <v>17</v>
      </c>
      <c r="B195" s="3">
        <v>0</v>
      </c>
      <c r="C195" s="2" t="s">
        <v>44</v>
      </c>
      <c r="D195" s="2" t="s">
        <v>111</v>
      </c>
      <c r="E195" s="3">
        <v>0</v>
      </c>
    </row>
    <row r="196" spans="1:5" x14ac:dyDescent="0.25">
      <c r="A196" s="8" t="s">
        <v>18</v>
      </c>
      <c r="B196" s="3">
        <v>0</v>
      </c>
      <c r="C196" s="2" t="s">
        <v>44</v>
      </c>
      <c r="D196" s="2" t="s">
        <v>111</v>
      </c>
      <c r="E196" s="3">
        <v>0</v>
      </c>
    </row>
    <row r="197" spans="1:5" x14ac:dyDescent="0.25">
      <c r="A197" s="8" t="s">
        <v>19</v>
      </c>
      <c r="B197" s="3">
        <v>0</v>
      </c>
      <c r="C197" s="2" t="s">
        <v>44</v>
      </c>
      <c r="D197" s="2" t="s">
        <v>111</v>
      </c>
      <c r="E197" s="3">
        <v>0</v>
      </c>
    </row>
    <row r="198" spans="1:5" x14ac:dyDescent="0.25">
      <c r="A198" s="8" t="s">
        <v>20</v>
      </c>
      <c r="B198" s="3">
        <v>0</v>
      </c>
      <c r="C198" s="2" t="s">
        <v>44</v>
      </c>
      <c r="D198" s="2" t="s">
        <v>111</v>
      </c>
      <c r="E198" s="3">
        <v>0</v>
      </c>
    </row>
    <row r="199" spans="1:5" x14ac:dyDescent="0.25">
      <c r="A199" s="8" t="s">
        <v>22</v>
      </c>
      <c r="B199" s="3">
        <v>0</v>
      </c>
      <c r="C199" s="2" t="s">
        <v>44</v>
      </c>
      <c r="D199" s="2" t="s">
        <v>111</v>
      </c>
      <c r="E199" s="3">
        <v>0</v>
      </c>
    </row>
    <row r="200" spans="1:5" x14ac:dyDescent="0.25">
      <c r="A200" s="8" t="s">
        <v>21</v>
      </c>
      <c r="B200" s="3">
        <v>0</v>
      </c>
      <c r="C200" s="2" t="s">
        <v>44</v>
      </c>
      <c r="D200" s="2" t="s">
        <v>111</v>
      </c>
      <c r="E200" s="3">
        <v>0</v>
      </c>
    </row>
    <row r="201" spans="1:5" x14ac:dyDescent="0.25">
      <c r="A201" s="8" t="s">
        <v>23</v>
      </c>
      <c r="B201" s="3">
        <v>291.5873642277719</v>
      </c>
      <c r="C201" s="2" t="s">
        <v>44</v>
      </c>
      <c r="D201" s="2" t="s">
        <v>111</v>
      </c>
      <c r="E201" s="3">
        <v>567.5339666643398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1-way</vt:lpstr>
      <vt:lpstr>2-way</vt:lpstr>
      <vt:lpstr>2-way for ANOVA</vt:lpstr>
      <vt:lpstr>2-way for mixed model</vt:lpstr>
      <vt:lpstr>1-way missing data</vt:lpstr>
      <vt:lpstr>2-way missing data</vt:lpstr>
      <vt:lpstr>2-way missing for ANOVA</vt:lpstr>
      <vt:lpstr>2-way missing for mixed model</vt:lpstr>
    </vt:vector>
  </TitlesOfParts>
  <Company>Auckland University of Technology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Reviewer</dc:creator>
  <cp:lastModifiedBy>Will Hopkins</cp:lastModifiedBy>
  <dcterms:created xsi:type="dcterms:W3CDTF">2006-09-18T18:15:32Z</dcterms:created>
  <dcterms:modified xsi:type="dcterms:W3CDTF">2016-02-29T02:50:22Z</dcterms:modified>
</cp:coreProperties>
</file>